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PC\Documents\BUDGET\2022-2023\"/>
    </mc:Choice>
  </mc:AlternateContent>
  <xr:revisionPtr revIDLastSave="0" documentId="13_ncr:1_{CAD9BFD1-93C6-4AC3-9789-7E5E54D94F9E}" xr6:coauthVersionLast="47" xr6:coauthVersionMax="47" xr10:uidLastSave="{00000000-0000-0000-0000-000000000000}"/>
  <bookViews>
    <workbookView xWindow="-120" yWindow="-120" windowWidth="20730" windowHeight="11040" tabRatio="838" activeTab="4" xr2:uid="{00000000-000D-0000-FFFF-FFFF00000000}"/>
  </bookViews>
  <sheets>
    <sheet name="General Fund" sheetId="1" r:id="rId1"/>
    <sheet name="Public Works" sheetId="3" r:id="rId2"/>
    <sheet name="Park and Rec" sheetId="4" r:id="rId3"/>
    <sheet name="FIre Operation" sheetId="5" r:id="rId4"/>
    <sheet name="Equipment" sheetId="6" r:id="rId5"/>
  </sheets>
  <definedNames>
    <definedName name="_xlnm.Print_Area" localSheetId="4">Equipment!$A$1:$L$17</definedName>
    <definedName name="_xlnm.Print_Area" localSheetId="0">'General Fund'!$P$1:$AA$96,'General Fund'!$A$1:$O$35</definedName>
    <definedName name="_xlnm.Print_Area" localSheetId="2">'Park and Rec'!$A$1:$L$34</definedName>
    <definedName name="_xlnm.Print_Area" localSheetId="1">'Public Works'!$A$1:$M$13</definedName>
    <definedName name="_xlnm.Print_Titles" localSheetId="0">'General Fund'!$1:$1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6" l="1"/>
  <c r="AA10" i="1"/>
  <c r="AA11" i="1"/>
  <c r="O21" i="1"/>
  <c r="Z76" i="1"/>
  <c r="Z77" i="1"/>
  <c r="Z78" i="1"/>
  <c r="Z79" i="1"/>
  <c r="Z80" i="1"/>
  <c r="Z81" i="1"/>
  <c r="Z75" i="1"/>
  <c r="Z59" i="1"/>
  <c r="Z60" i="1"/>
  <c r="Z61" i="1"/>
  <c r="Z62" i="1"/>
  <c r="Z63" i="1"/>
  <c r="Z58" i="1"/>
  <c r="Z50" i="1"/>
  <c r="Z51" i="1"/>
  <c r="Z52" i="1"/>
  <c r="Z53" i="1"/>
  <c r="Z54" i="1"/>
  <c r="Z55" i="1"/>
  <c r="Z49" i="1"/>
  <c r="Z42" i="1"/>
  <c r="Z43" i="1"/>
  <c r="Z44" i="1"/>
  <c r="Z45" i="1"/>
  <c r="Z46" i="1"/>
  <c r="Z41" i="1"/>
  <c r="Z37" i="1"/>
  <c r="Z39" i="1" s="1"/>
  <c r="Z38" i="1"/>
  <c r="Z36" i="1"/>
  <c r="Z30" i="1"/>
  <c r="Z31" i="1"/>
  <c r="Z32" i="1"/>
  <c r="Z33" i="1"/>
  <c r="Z29" i="1"/>
  <c r="Z25" i="1"/>
  <c r="Z26" i="1"/>
  <c r="Z20" i="1"/>
  <c r="Z21" i="1"/>
  <c r="Z19" i="1"/>
  <c r="Z14" i="1"/>
  <c r="Z17" i="1" s="1"/>
  <c r="Z15" i="1"/>
  <c r="Z16" i="1"/>
  <c r="Z13" i="1"/>
  <c r="Z4" i="1"/>
  <c r="Z5" i="1"/>
  <c r="Z6" i="1"/>
  <c r="Z7" i="1"/>
  <c r="Z8" i="1"/>
  <c r="Z9" i="1"/>
  <c r="Z10" i="1"/>
  <c r="Z3" i="1"/>
  <c r="L21" i="4"/>
  <c r="K9" i="6"/>
  <c r="K8" i="5"/>
  <c r="K2" i="4"/>
  <c r="L16" i="6"/>
  <c r="K16" i="6"/>
  <c r="L9" i="6"/>
  <c r="L18" i="6" s="1"/>
  <c r="J18" i="6"/>
  <c r="J16" i="6"/>
  <c r="J9" i="6"/>
  <c r="L39" i="5"/>
  <c r="K39" i="5"/>
  <c r="L8" i="5"/>
  <c r="J41" i="5"/>
  <c r="J39" i="5"/>
  <c r="J8" i="5"/>
  <c r="K2" i="3"/>
  <c r="L4" i="3"/>
  <c r="L13" i="3" s="1"/>
  <c r="K8" i="4"/>
  <c r="L32" i="4"/>
  <c r="K32" i="4"/>
  <c r="L8" i="4"/>
  <c r="J32" i="4"/>
  <c r="J8" i="4"/>
  <c r="J34" i="4" s="1"/>
  <c r="L11" i="3"/>
  <c r="K11" i="3"/>
  <c r="J11" i="3"/>
  <c r="K4" i="3"/>
  <c r="K13" i="3" s="1"/>
  <c r="J4" i="3"/>
  <c r="J13" i="3" s="1"/>
  <c r="H2" i="3"/>
  <c r="H4" i="3"/>
  <c r="H11" i="3"/>
  <c r="H13" i="3" s="1"/>
  <c r="Y11" i="1"/>
  <c r="Y17" i="1"/>
  <c r="Y22" i="1"/>
  <c r="Y27" i="1"/>
  <c r="Y34" i="1"/>
  <c r="Y39" i="1"/>
  <c r="Y47" i="1"/>
  <c r="Y56" i="1"/>
  <c r="Y73" i="1"/>
  <c r="Y93" i="1"/>
  <c r="Y88" i="1"/>
  <c r="Y82" i="1"/>
  <c r="M25" i="1"/>
  <c r="M27" i="1"/>
  <c r="F27" i="1"/>
  <c r="E27" i="1"/>
  <c r="F33" i="1"/>
  <c r="G25" i="1"/>
  <c r="E25" i="1"/>
  <c r="D25" i="1"/>
  <c r="D27" i="1" s="1"/>
  <c r="X96" i="1"/>
  <c r="L33" i="1" s="1"/>
  <c r="AA93" i="1"/>
  <c r="AA88" i="1"/>
  <c r="AA82" i="1"/>
  <c r="Z73" i="1"/>
  <c r="AA73" i="1"/>
  <c r="AA64" i="1"/>
  <c r="AA56" i="1"/>
  <c r="AA47" i="1"/>
  <c r="AA39" i="1"/>
  <c r="AA34" i="1"/>
  <c r="AA27" i="1"/>
  <c r="AA22" i="1"/>
  <c r="AA17" i="1"/>
  <c r="O25" i="1"/>
  <c r="O27" i="1" s="1"/>
  <c r="O20" i="1"/>
  <c r="N25" i="1"/>
  <c r="N27" i="1" s="1"/>
  <c r="Z93" i="1"/>
  <c r="Z88" i="1"/>
  <c r="Z22" i="1"/>
  <c r="Z24" i="1"/>
  <c r="L25" i="1"/>
  <c r="K2" i="1"/>
  <c r="L2" i="1" s="1"/>
  <c r="H39" i="5"/>
  <c r="G39" i="5"/>
  <c r="G6" i="5"/>
  <c r="G3" i="5"/>
  <c r="G8" i="6"/>
  <c r="W56" i="1"/>
  <c r="V56" i="1"/>
  <c r="U56" i="1"/>
  <c r="T56" i="1"/>
  <c r="V73" i="1"/>
  <c r="T47" i="1"/>
  <c r="W64" i="1"/>
  <c r="V64" i="1"/>
  <c r="U64" i="1"/>
  <c r="T64" i="1"/>
  <c r="V34" i="1"/>
  <c r="U34" i="1"/>
  <c r="T34" i="1"/>
  <c r="W47" i="1"/>
  <c r="V47" i="1"/>
  <c r="U47" i="1"/>
  <c r="T17" i="1"/>
  <c r="U17" i="1"/>
  <c r="V17" i="1"/>
  <c r="W17" i="1"/>
  <c r="T22" i="1"/>
  <c r="U22" i="1"/>
  <c r="V22" i="1"/>
  <c r="W22" i="1"/>
  <c r="T27" i="1"/>
  <c r="U27" i="1"/>
  <c r="V27" i="1"/>
  <c r="W27" i="1"/>
  <c r="T39" i="1"/>
  <c r="U39" i="1"/>
  <c r="V39" i="1"/>
  <c r="W39" i="1"/>
  <c r="V82" i="1"/>
  <c r="U82" i="1"/>
  <c r="T82" i="1"/>
  <c r="W93" i="1"/>
  <c r="V93" i="1"/>
  <c r="U93" i="1"/>
  <c r="W88" i="1"/>
  <c r="V88" i="1"/>
  <c r="U88" i="1"/>
  <c r="U73" i="1"/>
  <c r="W11" i="1"/>
  <c r="V11" i="1"/>
  <c r="T11" i="1"/>
  <c r="AA96" i="1" l="1"/>
  <c r="O33" i="1" s="1"/>
  <c r="O35" i="1" s="1"/>
  <c r="Z56" i="1"/>
  <c r="Z27" i="1"/>
  <c r="Z64" i="1"/>
  <c r="Z82" i="1"/>
  <c r="Z47" i="1"/>
  <c r="Z34" i="1"/>
  <c r="Z11" i="1"/>
  <c r="L41" i="5"/>
  <c r="L34" i="4"/>
  <c r="K18" i="6"/>
  <c r="K41" i="5"/>
  <c r="K34" i="4"/>
  <c r="Y96" i="1"/>
  <c r="M33" i="1" s="1"/>
  <c r="M35" i="1" s="1"/>
  <c r="L27" i="1"/>
  <c r="V96" i="1"/>
  <c r="G11" i="3"/>
  <c r="E11" i="3"/>
  <c r="I25" i="1"/>
  <c r="H32" i="4"/>
  <c r="G32" i="4"/>
  <c r="E32" i="4"/>
  <c r="Z96" i="1" l="1"/>
  <c r="N33" i="1" s="1"/>
  <c r="N35" i="1" s="1"/>
  <c r="L35" i="1"/>
  <c r="W80" i="1"/>
  <c r="W78" i="1"/>
  <c r="W82" i="1" l="1"/>
  <c r="W31" i="1"/>
  <c r="W34" i="1" s="1"/>
  <c r="W72" i="1"/>
  <c r="W73" i="1" s="1"/>
  <c r="K25" i="1"/>
  <c r="W96" i="1" l="1"/>
  <c r="K33" i="1" s="1"/>
  <c r="H37" i="5"/>
  <c r="H35" i="5"/>
  <c r="G9" i="6" l="1"/>
  <c r="G6" i="4"/>
  <c r="H16" i="6"/>
  <c r="H11" i="6"/>
  <c r="G16" i="6"/>
  <c r="J6" i="1"/>
  <c r="J25" i="1" l="1"/>
  <c r="M10" i="4"/>
  <c r="M11" i="4" s="1"/>
  <c r="M12" i="4" s="1"/>
  <c r="G18" i="6"/>
  <c r="H2" i="6" s="1"/>
  <c r="H9" i="6" s="1"/>
  <c r="H18" i="6" s="1"/>
  <c r="U4" i="1"/>
  <c r="C32" i="4"/>
  <c r="C8" i="4"/>
  <c r="D11" i="3"/>
  <c r="D2" i="3"/>
  <c r="C6" i="3"/>
  <c r="C7" i="3"/>
  <c r="C4" i="3"/>
  <c r="C2" i="5"/>
  <c r="C8" i="5" s="1"/>
  <c r="C35" i="5"/>
  <c r="C39" i="5" s="1"/>
  <c r="R65" i="1"/>
  <c r="R96" i="1" s="1"/>
  <c r="C2" i="6"/>
  <c r="C9" i="6" s="1"/>
  <c r="C16" i="6"/>
  <c r="E12" i="5"/>
  <c r="C34" i="4" l="1"/>
  <c r="U11" i="1"/>
  <c r="U96" i="1" s="1"/>
  <c r="C11" i="3"/>
  <c r="C18" i="6"/>
  <c r="F35" i="1"/>
  <c r="G2" i="1" s="1"/>
  <c r="C41" i="5"/>
  <c r="H3" i="1"/>
  <c r="H25" i="1" s="1"/>
  <c r="H2" i="1" l="1"/>
  <c r="H27" i="1" s="1"/>
  <c r="G27" i="1"/>
  <c r="T85" i="1"/>
  <c r="T88" i="1" s="1"/>
  <c r="T94" i="1"/>
  <c r="T91" i="1"/>
  <c r="T93" i="1" s="1"/>
  <c r="T72" i="1"/>
  <c r="T73" i="1" s="1"/>
  <c r="E6" i="5"/>
  <c r="E8" i="5" s="1"/>
  <c r="E8" i="4"/>
  <c r="E39" i="5"/>
  <c r="D39" i="5"/>
  <c r="D8" i="5"/>
  <c r="D16" i="6"/>
  <c r="E12" i="6"/>
  <c r="E16" i="6" s="1"/>
  <c r="D9" i="6"/>
  <c r="E9" i="6"/>
  <c r="D32" i="4"/>
  <c r="D8" i="4"/>
  <c r="E4" i="3"/>
  <c r="D4" i="3"/>
  <c r="D13" i="3" s="1"/>
  <c r="S10" i="1"/>
  <c r="S96" i="1" s="1"/>
  <c r="G33" i="1" s="1"/>
  <c r="T96" i="1" l="1"/>
  <c r="H33" i="1" s="1"/>
  <c r="H35" i="1" s="1"/>
  <c r="E34" i="4"/>
  <c r="G8" i="4" s="1"/>
  <c r="G34" i="4" s="1"/>
  <c r="H2" i="4" s="1"/>
  <c r="H8" i="4" s="1"/>
  <c r="H34" i="4" s="1"/>
  <c r="E13" i="3"/>
  <c r="G2" i="3" s="1"/>
  <c r="G4" i="3" s="1"/>
  <c r="G13" i="3" s="1"/>
  <c r="D34" i="4"/>
  <c r="D41" i="5"/>
  <c r="E41" i="5"/>
  <c r="G8" i="5" s="1"/>
  <c r="G41" i="5" s="1"/>
  <c r="H2" i="5" s="1"/>
  <c r="H8" i="5" s="1"/>
  <c r="H41" i="5" s="1"/>
  <c r="D18" i="6"/>
  <c r="G35" i="1"/>
  <c r="E18" i="6"/>
  <c r="J33" i="1"/>
  <c r="J27" i="1" l="1"/>
  <c r="J35" i="1" s="1"/>
  <c r="I2" i="1"/>
  <c r="I27" i="1" s="1"/>
  <c r="K27" i="1"/>
  <c r="K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DellPC</author>
  </authors>
  <commentList>
    <comment ref="J2" authorId="0" shapeId="0" xr:uid="{C762E954-8238-4419-A775-4AD5521E54B8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Adjusted to actual
</t>
        </r>
      </text>
    </comment>
    <comment ref="W10" authorId="0" shapeId="0" xr:uid="{ECB45E82-6E89-4EE2-8D91-2FB7DF26AF45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BS&amp;A
</t>
        </r>
      </text>
    </comment>
    <comment ref="X10" authorId="0" shapeId="0" xr:uid="{90EC04ED-EAC9-42C1-BC38-FB328A51D71F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BS&amp;A
</t>
        </r>
      </text>
    </comment>
    <comment ref="Z10" authorId="0" shapeId="0" xr:uid="{0DA719B0-DCFB-4F15-A5AD-75F265EF1CC7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BS&amp;A
</t>
        </r>
      </text>
    </comment>
    <comment ref="W61" authorId="0" shapeId="0" xr:uid="{F766A81D-35C9-4389-ADBB-EA9198AE7104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Road Repair
</t>
        </r>
      </text>
    </comment>
    <comment ref="X61" authorId="0" shapeId="0" xr:uid="{249D80F5-9EA5-41D6-8804-A8AB85BD10D7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Road Repair
</t>
        </r>
      </text>
    </comment>
    <comment ref="Z61" authorId="0" shapeId="0" xr:uid="{4D7865FD-25EA-443C-978A-4B43B16F3145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Road Repair
</t>
        </r>
      </text>
    </comment>
    <comment ref="W78" authorId="0" shapeId="0" xr:uid="{3C08611F-1E19-4463-9186-EEFE92A3ACE5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Wade Trim
</t>
        </r>
      </text>
    </comment>
    <comment ref="X78" authorId="0" shapeId="0" xr:uid="{87B4C0A5-0693-469D-A8BA-E60068994D9F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Wade Trim
</t>
        </r>
      </text>
    </comment>
    <comment ref="Y78" authorId="0" shapeId="0" xr:uid="{BE3BEAA0-2F4B-48B6-87FF-D3C79BE67D10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Move 10k from ZA Wages
</t>
        </r>
      </text>
    </comment>
    <comment ref="Z78" authorId="0" shapeId="0" xr:uid="{D8C71602-ABBC-4AF2-A72C-7D2E888A15A1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Wade Trim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DellPC</author>
  </authors>
  <commentList>
    <comment ref="G9" authorId="0" shapeId="0" xr:uid="{550709CA-C27C-40BF-A23F-68F45D78D5E5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Brownell Rd Culvert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DellPC</author>
  </authors>
  <commentList>
    <comment ref="G2" authorId="0" shapeId="0" xr:uid="{01D2AE8C-BF50-48B2-9BFE-00F0A085E981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Adjusted to actual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DellPC</author>
  </authors>
  <commentList>
    <comment ref="G2" authorId="0" shapeId="0" xr:uid="{6436E163-27AD-413D-BAB1-C2FD0823B19E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Adjusted to actual
</t>
        </r>
      </text>
    </comment>
    <comment ref="H12" authorId="0" shapeId="0" xr:uid="{026614F4-B48B-427C-AC05-1AF64323CD8D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gear for new employees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DellPC</author>
  </authors>
  <commentList>
    <comment ref="G2" authorId="0" shapeId="0" xr:uid="{870448E2-B80D-4528-A8AB-59C9578AD4EA}">
      <text>
        <r>
          <rPr>
            <b/>
            <sz val="9"/>
            <color indexed="81"/>
            <rFont val="Tahoma"/>
            <family val="2"/>
          </rPr>
          <t>DellPC:</t>
        </r>
        <r>
          <rPr>
            <sz val="9"/>
            <color indexed="81"/>
            <rFont val="Tahoma"/>
            <family val="2"/>
          </rPr>
          <t xml:space="preserve">
Adjusted to actual
</t>
        </r>
      </text>
    </comment>
  </commentList>
</comments>
</file>

<file path=xl/sharedStrings.xml><?xml version="1.0" encoding="utf-8"?>
<sst xmlns="http://schemas.openxmlformats.org/spreadsheetml/2006/main" count="460" uniqueCount="345">
  <si>
    <t>Revenue</t>
  </si>
  <si>
    <t>Proposed     2016-2017</t>
  </si>
  <si>
    <t>Actual           2016-2017</t>
  </si>
  <si>
    <t>Actual        2019-2020</t>
  </si>
  <si>
    <t>Adopted          2020-2021</t>
  </si>
  <si>
    <t>Actual YTD          2020-2021</t>
  </si>
  <si>
    <t xml:space="preserve">Approved         2021-2022 </t>
  </si>
  <si>
    <t>Expenditures</t>
  </si>
  <si>
    <t>Actual     2019-2020</t>
  </si>
  <si>
    <t xml:space="preserve">Approved        2021-2022 </t>
  </si>
  <si>
    <t>Beginning Balance</t>
  </si>
  <si>
    <t>101-100-702</t>
  </si>
  <si>
    <t>101-402</t>
  </si>
  <si>
    <t>Property Tax Collection</t>
  </si>
  <si>
    <t>101-100-726</t>
  </si>
  <si>
    <t>Supplies</t>
  </si>
  <si>
    <t>101-411</t>
  </si>
  <si>
    <t>Delinquent Prop Taxes</t>
  </si>
  <si>
    <t>101-100-801</t>
  </si>
  <si>
    <t>101-424</t>
  </si>
  <si>
    <t>Swamp Taxes</t>
  </si>
  <si>
    <t>101-100-900</t>
  </si>
  <si>
    <t>Printing</t>
  </si>
  <si>
    <t>101-445</t>
  </si>
  <si>
    <t>Penalities &amp; Interest on Taxes</t>
  </si>
  <si>
    <t>101-100-956</t>
  </si>
  <si>
    <t>101-447</t>
  </si>
  <si>
    <t>PTAF's</t>
  </si>
  <si>
    <t>101-100-990</t>
  </si>
  <si>
    <t>Capital Outlay</t>
  </si>
  <si>
    <t>101-448</t>
  </si>
  <si>
    <t>Summer Tax Collection Fee</t>
  </si>
  <si>
    <t>101-336-761</t>
  </si>
  <si>
    <t>Fire Dept Improvement - Capital Outlay</t>
  </si>
  <si>
    <t>101-450</t>
  </si>
  <si>
    <t>Licenses &amp; Permits</t>
  </si>
  <si>
    <t>101-171-702</t>
  </si>
  <si>
    <t>Supervisor Wages</t>
  </si>
  <si>
    <t>101-574</t>
  </si>
  <si>
    <t>State Shared Revenue</t>
  </si>
  <si>
    <t>101-171-704</t>
  </si>
  <si>
    <t>Deputy Wages</t>
  </si>
  <si>
    <t>101-603</t>
  </si>
  <si>
    <t>Public Act 88 - Metro Authority</t>
  </si>
  <si>
    <t>101-171-726</t>
  </si>
  <si>
    <t>101-627</t>
  </si>
  <si>
    <t xml:space="preserve">Cemetery Sexton (Burials) </t>
  </si>
  <si>
    <t>101-171-860</t>
  </si>
  <si>
    <t>Education &amp; Travel</t>
  </si>
  <si>
    <t>101-628</t>
  </si>
  <si>
    <t>Land Division</t>
  </si>
  <si>
    <t>101-191</t>
  </si>
  <si>
    <t>Elections</t>
  </si>
  <si>
    <t>101-665</t>
  </si>
  <si>
    <t>Interest</t>
  </si>
  <si>
    <t>101-191-702</t>
  </si>
  <si>
    <t>Wages</t>
  </si>
  <si>
    <t>101-667</t>
  </si>
  <si>
    <t>Rents &amp; Royalities</t>
  </si>
  <si>
    <t>101-191-726</t>
  </si>
  <si>
    <t>Supplies &amp; Printing</t>
  </si>
  <si>
    <t>101-676</t>
  </si>
  <si>
    <t>Refunds &amp; Reimbursements</t>
  </si>
  <si>
    <t>101-191-801</t>
  </si>
  <si>
    <t>Professional Services</t>
  </si>
  <si>
    <t>101-694</t>
  </si>
  <si>
    <t>Misc Revenue</t>
  </si>
  <si>
    <t>101-209-702</t>
  </si>
  <si>
    <t>Assessor Wages</t>
  </si>
  <si>
    <t>Savings Account</t>
  </si>
  <si>
    <t>101-209-726</t>
  </si>
  <si>
    <t>Supplies &amp; Misc</t>
  </si>
  <si>
    <t>(DNR PILT)</t>
  </si>
  <si>
    <t>101-209-860</t>
  </si>
  <si>
    <t>Trans/Mileage/Education</t>
  </si>
  <si>
    <t>Total Revenue</t>
  </si>
  <si>
    <t>101-215-702</t>
  </si>
  <si>
    <t>Clerk Wages</t>
  </si>
  <si>
    <t>101-215-704</t>
  </si>
  <si>
    <t>101-215-705</t>
  </si>
  <si>
    <t>Recording Secretary Wages</t>
  </si>
  <si>
    <t>101-215-726</t>
  </si>
  <si>
    <t>101-215-860</t>
  </si>
  <si>
    <t>Education &amp; Training</t>
  </si>
  <si>
    <t>101-247-702</t>
  </si>
  <si>
    <t>Total Expense</t>
  </si>
  <si>
    <t>101-247-860</t>
  </si>
  <si>
    <t>Education/Travel/Mileage</t>
  </si>
  <si>
    <t>101-247-900</t>
  </si>
  <si>
    <t>101-253-702</t>
  </si>
  <si>
    <t>Treasurer Wages</t>
  </si>
  <si>
    <t>101-253-703</t>
  </si>
  <si>
    <t>Summer Tax Collect</t>
  </si>
  <si>
    <t>101-253-704</t>
  </si>
  <si>
    <t>101-253-726</t>
  </si>
  <si>
    <t>101-253-860</t>
  </si>
  <si>
    <t>101-253-900</t>
  </si>
  <si>
    <t>101-265</t>
  </si>
  <si>
    <t>Building &amp; Grounds</t>
  </si>
  <si>
    <t>101-265-726</t>
  </si>
  <si>
    <t>101-265-800</t>
  </si>
  <si>
    <t>Seasonal Contracts - Plowing</t>
  </si>
  <si>
    <t>101-265-921</t>
  </si>
  <si>
    <t>Utilities</t>
  </si>
  <si>
    <t>101-265-922</t>
  </si>
  <si>
    <t>Telephone</t>
  </si>
  <si>
    <t>101-265-930</t>
  </si>
  <si>
    <t>Maintenance and Repair</t>
  </si>
  <si>
    <t>101-265-960</t>
  </si>
  <si>
    <t xml:space="preserve">Clean Up Day </t>
  </si>
  <si>
    <t>101-276-702</t>
  </si>
  <si>
    <t>Cemetery Wages</t>
  </si>
  <si>
    <t>101-276-921</t>
  </si>
  <si>
    <t>101-276-959</t>
  </si>
  <si>
    <t>Miscellaneous</t>
  </si>
  <si>
    <t>101-276-900</t>
  </si>
  <si>
    <t>101-276</t>
  </si>
  <si>
    <t>Misc-Other</t>
  </si>
  <si>
    <t>101-801-702</t>
  </si>
  <si>
    <t>101-401-703</t>
  </si>
  <si>
    <t>101-401-726</t>
  </si>
  <si>
    <t>101-401-801</t>
  </si>
  <si>
    <t>101-401-860</t>
  </si>
  <si>
    <t>Training and Travel</t>
  </si>
  <si>
    <t>101-401-900</t>
  </si>
  <si>
    <t>101-300</t>
  </si>
  <si>
    <t>Public Safety - Fire Dept</t>
  </si>
  <si>
    <t>101-751</t>
  </si>
  <si>
    <t>Park and Rec</t>
  </si>
  <si>
    <t>101-850</t>
  </si>
  <si>
    <t>101-850-862</t>
  </si>
  <si>
    <t>Payroll Taxes</t>
  </si>
  <si>
    <t>101-850-865</t>
  </si>
  <si>
    <t>Insurance and Bonds</t>
  </si>
  <si>
    <t>101-850-890</t>
  </si>
  <si>
    <t>Contingencies</t>
  </si>
  <si>
    <t>101-965</t>
  </si>
  <si>
    <t>Rental Transfer Out</t>
  </si>
  <si>
    <t>101-6560</t>
  </si>
  <si>
    <t>Payroll Expenses</t>
  </si>
  <si>
    <t>Total Expenditure</t>
  </si>
  <si>
    <t>Actual          2019-2020</t>
  </si>
  <si>
    <t>Adopted        2021-2022</t>
  </si>
  <si>
    <t>Notes</t>
  </si>
  <si>
    <t>213-402</t>
  </si>
  <si>
    <t>Contracts: Platte Township</t>
  </si>
  <si>
    <t>Delinquent Pro Tax</t>
  </si>
  <si>
    <t>213-665</t>
  </si>
  <si>
    <t>213-400</t>
  </si>
  <si>
    <t>Millage Money - Operation</t>
  </si>
  <si>
    <t>Expense</t>
  </si>
  <si>
    <t>213-726</t>
  </si>
  <si>
    <t>213-727</t>
  </si>
  <si>
    <t>Clothing</t>
  </si>
  <si>
    <t>PPE</t>
  </si>
  <si>
    <t>Office</t>
  </si>
  <si>
    <t>Other</t>
  </si>
  <si>
    <t>213-702</t>
  </si>
  <si>
    <t>Salaries/Wages</t>
  </si>
  <si>
    <t>213-703</t>
  </si>
  <si>
    <t>MFR Wages</t>
  </si>
  <si>
    <t>Salaries/ Other</t>
  </si>
  <si>
    <t>213-704</t>
  </si>
  <si>
    <t>Station Duty Wages</t>
  </si>
  <si>
    <t>Building</t>
  </si>
  <si>
    <t>213-931</t>
  </si>
  <si>
    <t>Radio</t>
  </si>
  <si>
    <t>213-932</t>
  </si>
  <si>
    <t>Vehicle</t>
  </si>
  <si>
    <t>213-933</t>
  </si>
  <si>
    <t>Equipment</t>
  </si>
  <si>
    <t>213-930</t>
  </si>
  <si>
    <t>Operating Misc</t>
  </si>
  <si>
    <t>213-361</t>
  </si>
  <si>
    <t>Mileage</t>
  </si>
  <si>
    <t>213-750</t>
  </si>
  <si>
    <t>Fuel</t>
  </si>
  <si>
    <t>213-850</t>
  </si>
  <si>
    <t>213-860</t>
  </si>
  <si>
    <t>Education/Training</t>
  </si>
  <si>
    <t>213-862</t>
  </si>
  <si>
    <t>Incident Support</t>
  </si>
  <si>
    <t>213-901</t>
  </si>
  <si>
    <t>Physicals</t>
  </si>
  <si>
    <t>213-921</t>
  </si>
  <si>
    <t>213-956</t>
  </si>
  <si>
    <t>Dues and Subscriptions</t>
  </si>
  <si>
    <t>213-961</t>
  </si>
  <si>
    <t>Misc</t>
  </si>
  <si>
    <t>213-962</t>
  </si>
  <si>
    <t>213-963</t>
  </si>
  <si>
    <t>Insurance</t>
  </si>
  <si>
    <t>Net Income</t>
  </si>
  <si>
    <t>Actual         2019-2020</t>
  </si>
  <si>
    <t>Adopted          2021-2022</t>
  </si>
  <si>
    <t>Sale of truck - Kenworth</t>
  </si>
  <si>
    <t>Donation for Brush Truck Project</t>
  </si>
  <si>
    <t>213-700</t>
  </si>
  <si>
    <t>Loan on 2019 Freightliner</t>
  </si>
  <si>
    <t>Deposit from General Fund</t>
  </si>
  <si>
    <t>Brush Truck Project</t>
  </si>
  <si>
    <t>Repay General Fund</t>
  </si>
  <si>
    <t>Service Fees</t>
  </si>
  <si>
    <t xml:space="preserve">Net </t>
  </si>
  <si>
    <t>Adopted         2021-2022</t>
  </si>
  <si>
    <t>Transfer from GF</t>
  </si>
  <si>
    <t>202-440</t>
  </si>
  <si>
    <t>Public Works</t>
  </si>
  <si>
    <t>202-446</t>
  </si>
  <si>
    <t>Total Expenses</t>
  </si>
  <si>
    <t>Net</t>
  </si>
  <si>
    <t xml:space="preserve">Park &amp; Rec </t>
  </si>
  <si>
    <t>Savings</t>
  </si>
  <si>
    <t>545-653</t>
  </si>
  <si>
    <t>Men Sponsor Fees</t>
  </si>
  <si>
    <t>Women Sponsor Fees</t>
  </si>
  <si>
    <t>Expenses</t>
  </si>
  <si>
    <t>545-702</t>
  </si>
  <si>
    <t>545-726</t>
  </si>
  <si>
    <t>Concession Supplies</t>
  </si>
  <si>
    <t>Equipment &amp; Supplies</t>
  </si>
  <si>
    <t>545-921</t>
  </si>
  <si>
    <t>545-922</t>
  </si>
  <si>
    <t>Water Sample</t>
  </si>
  <si>
    <t>545-923</t>
  </si>
  <si>
    <t>Water Test</t>
  </si>
  <si>
    <t>DEQ</t>
  </si>
  <si>
    <t>License</t>
  </si>
  <si>
    <t>545-931</t>
  </si>
  <si>
    <t>Lawn Fertilization</t>
  </si>
  <si>
    <t>Repairs and Maintenance</t>
  </si>
  <si>
    <t>545-936</t>
  </si>
  <si>
    <t>Outhouse</t>
  </si>
  <si>
    <t>Water Line</t>
  </si>
  <si>
    <t>545-938</t>
  </si>
  <si>
    <t>Sprinkler</t>
  </si>
  <si>
    <t>Chlorine</t>
  </si>
  <si>
    <t>Electrical Repairs</t>
  </si>
  <si>
    <t>Well Drilling</t>
  </si>
  <si>
    <t>Diamond Dust</t>
  </si>
  <si>
    <t>Bid Ads</t>
  </si>
  <si>
    <t>545-935</t>
  </si>
  <si>
    <t>Actual YTD       2021-2022</t>
  </si>
  <si>
    <t>Proposed       2022-2023</t>
  </si>
  <si>
    <t>Actual          2021-2022</t>
  </si>
  <si>
    <t>Actual YTD        2021-2022</t>
  </si>
  <si>
    <t>Actual YTD         2021-2022</t>
  </si>
  <si>
    <t xml:space="preserve">Proposed        2022-2023 </t>
  </si>
  <si>
    <t xml:space="preserve">Actual YTD        2021-2022 </t>
  </si>
  <si>
    <t>Zoning Administrator</t>
  </si>
  <si>
    <t>HARP Grant</t>
  </si>
  <si>
    <t>Park Manager</t>
  </si>
  <si>
    <t>Proposed         2022-2023</t>
  </si>
  <si>
    <t>2 porta johns</t>
  </si>
  <si>
    <t>Culvert Project</t>
  </si>
  <si>
    <t>yr</t>
  </si>
  <si>
    <t>mth</t>
  </si>
  <si>
    <t>wk</t>
  </si>
  <si>
    <t>Dues &amp; Subscriptions</t>
  </si>
  <si>
    <t>Paper and mailings</t>
  </si>
  <si>
    <t>Postage &amp; Misc</t>
  </si>
  <si>
    <t>carryover</t>
  </si>
  <si>
    <t>postage and county expense</t>
  </si>
  <si>
    <t xml:space="preserve">Professional Services </t>
  </si>
  <si>
    <t>Supplies &amp; Expenses</t>
  </si>
  <si>
    <t>Millage Money</t>
  </si>
  <si>
    <t>213-411</t>
  </si>
  <si>
    <t>545-990</t>
  </si>
  <si>
    <t>Total Revenue + Beg Balance</t>
  </si>
  <si>
    <t>Auditors &amp; IT</t>
  </si>
  <si>
    <t>Cemetery</t>
  </si>
  <si>
    <t>101-209</t>
  </si>
  <si>
    <t>Assessor</t>
  </si>
  <si>
    <t>101-100</t>
  </si>
  <si>
    <t>Township</t>
  </si>
  <si>
    <t>Trustee Wages</t>
  </si>
  <si>
    <t>101-171</t>
  </si>
  <si>
    <t xml:space="preserve">Supervisor </t>
  </si>
  <si>
    <t>101-215</t>
  </si>
  <si>
    <t>Clerk</t>
  </si>
  <si>
    <t>101-247</t>
  </si>
  <si>
    <t>Board of Review</t>
  </si>
  <si>
    <t>BOR Wages</t>
  </si>
  <si>
    <t>101-253</t>
  </si>
  <si>
    <t>Treasurer</t>
  </si>
  <si>
    <t>101-276-930</t>
  </si>
  <si>
    <t>101-801</t>
  </si>
  <si>
    <t>Planning &amp; Zoning</t>
  </si>
  <si>
    <t>Committee Wages</t>
  </si>
  <si>
    <t>101-440</t>
  </si>
  <si>
    <t>Roads</t>
  </si>
  <si>
    <t>202-440-900</t>
  </si>
  <si>
    <t>flags, other?</t>
  </si>
  <si>
    <t>bathroom &amp; concessions</t>
  </si>
  <si>
    <t>road repairs</t>
  </si>
  <si>
    <t>x-fer to FD</t>
  </si>
  <si>
    <t>Cemetary Plots</t>
  </si>
  <si>
    <t>101-100-860</t>
  </si>
  <si>
    <t>.</t>
  </si>
  <si>
    <t>101-265-702</t>
  </si>
  <si>
    <t>Building Wages</t>
  </si>
  <si>
    <t>101-100-961</t>
  </si>
  <si>
    <t>101-336-702</t>
  </si>
  <si>
    <t>Fire Dept Salaries and Wages</t>
  </si>
  <si>
    <t>101-336-703</t>
  </si>
  <si>
    <t>Fire Dept MFR Wages</t>
  </si>
  <si>
    <t>101-336-705</t>
  </si>
  <si>
    <t>Fire Dept Project Pay</t>
  </si>
  <si>
    <t>101-336-726</t>
  </si>
  <si>
    <t>Fire Dept Deposit Slips</t>
  </si>
  <si>
    <t>101-336-961</t>
  </si>
  <si>
    <t>Fire Dept Misc</t>
  </si>
  <si>
    <t>101-401</t>
  </si>
  <si>
    <t>Planning &amp; Zoning Other</t>
  </si>
  <si>
    <t>Platte River Park Grant</t>
  </si>
  <si>
    <t>ARPA Funds</t>
  </si>
  <si>
    <t>231-930</t>
  </si>
  <si>
    <t>213-728</t>
  </si>
  <si>
    <t>213-861</t>
  </si>
  <si>
    <t>Millage</t>
  </si>
  <si>
    <t>751-965</t>
  </si>
  <si>
    <t>751-921</t>
  </si>
  <si>
    <t>Other Functions</t>
  </si>
  <si>
    <t>Transfer Out</t>
  </si>
  <si>
    <t>Total</t>
  </si>
  <si>
    <t>101-336-704</t>
  </si>
  <si>
    <t>Station Duty Pay</t>
  </si>
  <si>
    <t>Brining</t>
  </si>
  <si>
    <t>101-573</t>
  </si>
  <si>
    <t>Local Community Stabilization</t>
  </si>
  <si>
    <t>545-705</t>
  </si>
  <si>
    <t>Contracts</t>
  </si>
  <si>
    <t>213-573</t>
  </si>
  <si>
    <t>MTA &amp; Payroll, Library?</t>
  </si>
  <si>
    <t>wade trim - MR CONSULTING</t>
  </si>
  <si>
    <t>`</t>
  </si>
  <si>
    <t>Total Profit/Loss (End balance)</t>
  </si>
  <si>
    <t xml:space="preserve">  2022-2023 Original Approved      </t>
  </si>
  <si>
    <t>2022-2023 Amended</t>
  </si>
  <si>
    <t xml:space="preserve">2022-2023 Final Approved        </t>
  </si>
  <si>
    <t>BS&amp;A+CIP PLAN+GRANTS</t>
  </si>
  <si>
    <t xml:space="preserve">2022-2023 Actual YTD        </t>
  </si>
  <si>
    <t>101-626</t>
  </si>
  <si>
    <t>Fire Dept Operations</t>
  </si>
  <si>
    <t>545-940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</si>
</sst>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_);_([$$-409]* \(#,##0.00\);_([$$-409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64" fontId="3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64" fontId="3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/>
    </xf>
    <xf numFmtId="44" fontId="3" fillId="0" borderId="0" xfId="1" applyFont="1" applyBorder="1" applyAlignment="1">
      <alignment vertical="center"/>
    </xf>
    <xf numFmtId="44" fontId="0" fillId="0" borderId="0" xfId="1" applyFont="1"/>
    <xf numFmtId="16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44" fontId="3" fillId="0" borderId="8" xfId="1" applyFont="1" applyBorder="1" applyAlignment="1">
      <alignment horizontal="center" vertical="center"/>
    </xf>
    <xf numFmtId="44" fontId="3" fillId="0" borderId="4" xfId="1" applyFont="1" applyBorder="1" applyAlignment="1">
      <alignment vertical="center"/>
    </xf>
    <xf numFmtId="0" fontId="6" fillId="0" borderId="0" xfId="0" applyFont="1"/>
    <xf numFmtId="164" fontId="3" fillId="0" borderId="0" xfId="1" applyNumberFormat="1" applyFont="1" applyFill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14" xfId="0" applyFont="1" applyBorder="1"/>
    <xf numFmtId="0" fontId="2" fillId="0" borderId="16" xfId="0" applyFont="1" applyBorder="1" applyAlignment="1">
      <alignment horizontal="left" wrapText="1"/>
    </xf>
    <xf numFmtId="0" fontId="3" fillId="0" borderId="1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/>
    <xf numFmtId="0" fontId="3" fillId="0" borderId="8" xfId="0" applyFont="1" applyBorder="1"/>
    <xf numFmtId="44" fontId="3" fillId="0" borderId="8" xfId="1" applyFont="1" applyBorder="1"/>
    <xf numFmtId="0" fontId="3" fillId="0" borderId="19" xfId="0" applyFont="1" applyBorder="1"/>
    <xf numFmtId="0" fontId="2" fillId="0" borderId="21" xfId="0" applyFont="1" applyBorder="1" applyAlignment="1">
      <alignment horizontal="left" wrapText="1"/>
    </xf>
    <xf numFmtId="164" fontId="3" fillId="0" borderId="2" xfId="1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3" xfId="0" applyFont="1" applyBorder="1" applyAlignment="1">
      <alignment horizontal="left" wrapText="1"/>
    </xf>
    <xf numFmtId="164" fontId="3" fillId="0" borderId="2" xfId="1" applyNumberFormat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2" fillId="0" borderId="0" xfId="0" applyFont="1"/>
    <xf numFmtId="44" fontId="3" fillId="0" borderId="4" xfId="1" applyFont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44" fontId="3" fillId="0" borderId="4" xfId="1" applyFont="1" applyFill="1" applyBorder="1" applyAlignment="1">
      <alignment vertical="center"/>
    </xf>
    <xf numFmtId="0" fontId="3" fillId="0" borderId="7" xfId="0" applyFont="1" applyBorder="1"/>
    <xf numFmtId="44" fontId="3" fillId="0" borderId="7" xfId="1" applyFont="1" applyBorder="1"/>
    <xf numFmtId="44" fontId="3" fillId="0" borderId="0" xfId="1" applyFont="1" applyBorder="1"/>
    <xf numFmtId="0" fontId="3" fillId="0" borderId="21" xfId="0" applyFont="1" applyBorder="1" applyAlignment="1">
      <alignment horizontal="left" wrapText="1"/>
    </xf>
    <xf numFmtId="44" fontId="3" fillId="0" borderId="21" xfId="1" applyFont="1" applyFill="1" applyBorder="1" applyAlignment="1">
      <alignment horizontal="center" wrapText="1"/>
    </xf>
    <xf numFmtId="164" fontId="2" fillId="0" borderId="7" xfId="1" applyNumberFormat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/>
    </xf>
    <xf numFmtId="0" fontId="2" fillId="0" borderId="14" xfId="0" applyFont="1" applyBorder="1"/>
    <xf numFmtId="44" fontId="2" fillId="0" borderId="7" xfId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4" fontId="0" fillId="0" borderId="0" xfId="1" applyNumberFormat="1" applyFont="1"/>
    <xf numFmtId="164" fontId="2" fillId="0" borderId="5" xfId="1" applyNumberFormat="1" applyFont="1" applyBorder="1" applyAlignment="1">
      <alignment vertical="center"/>
    </xf>
    <xf numFmtId="44" fontId="2" fillId="0" borderId="5" xfId="1" applyFont="1" applyBorder="1" applyAlignment="1">
      <alignment vertical="center"/>
    </xf>
    <xf numFmtId="0" fontId="2" fillId="0" borderId="5" xfId="0" applyFont="1" applyBorder="1"/>
    <xf numFmtId="44" fontId="2" fillId="0" borderId="5" xfId="1" applyFont="1" applyBorder="1"/>
    <xf numFmtId="0" fontId="3" fillId="0" borderId="20" xfId="0" applyFont="1" applyBorder="1" applyAlignment="1">
      <alignment horizontal="left" wrapText="1"/>
    </xf>
    <xf numFmtId="0" fontId="3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5" xfId="0" applyBorder="1"/>
    <xf numFmtId="44" fontId="2" fillId="0" borderId="7" xfId="1" applyFont="1" applyBorder="1"/>
    <xf numFmtId="0" fontId="3" fillId="0" borderId="2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4" xfId="0" applyBorder="1"/>
    <xf numFmtId="0" fontId="0" fillId="0" borderId="2" xfId="0" applyBorder="1"/>
    <xf numFmtId="0" fontId="6" fillId="0" borderId="7" xfId="0" applyFont="1" applyBorder="1"/>
    <xf numFmtId="0" fontId="7" fillId="0" borderId="2" xfId="0" applyFont="1" applyBorder="1" applyAlignment="1">
      <alignment vertical="center"/>
    </xf>
    <xf numFmtId="44" fontId="2" fillId="0" borderId="21" xfId="1" applyFont="1" applyBorder="1" applyAlignment="1">
      <alignment vertical="center"/>
    </xf>
    <xf numFmtId="164" fontId="3" fillId="0" borderId="21" xfId="1" applyNumberFormat="1" applyFont="1" applyFill="1" applyBorder="1" applyAlignment="1">
      <alignment horizontal="center" wrapText="1"/>
    </xf>
    <xf numFmtId="164" fontId="3" fillId="0" borderId="4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wrapText="1"/>
    </xf>
    <xf numFmtId="44" fontId="3" fillId="0" borderId="0" xfId="1" applyFont="1" applyFill="1" applyBorder="1" applyAlignment="1">
      <alignment horizontal="center" vertical="center"/>
    </xf>
    <xf numFmtId="44" fontId="3" fillId="3" borderId="2" xfId="1" applyFont="1" applyFill="1" applyBorder="1" applyAlignment="1">
      <alignment vertical="center"/>
    </xf>
    <xf numFmtId="44" fontId="3" fillId="0" borderId="2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/>
    </xf>
    <xf numFmtId="164" fontId="3" fillId="0" borderId="25" xfId="1" applyNumberFormat="1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164" fontId="5" fillId="0" borderId="2" xfId="1" applyNumberFormat="1" applyFont="1" applyFill="1" applyBorder="1" applyAlignment="1">
      <alignment horizontal="center" wrapText="1"/>
    </xf>
    <xf numFmtId="44" fontId="3" fillId="0" borderId="13" xfId="1" applyFont="1" applyFill="1" applyBorder="1" applyAlignment="1">
      <alignment wrapText="1"/>
    </xf>
    <xf numFmtId="44" fontId="4" fillId="0" borderId="13" xfId="1" applyFont="1" applyFill="1" applyBorder="1" applyAlignment="1">
      <alignment wrapText="1"/>
    </xf>
    <xf numFmtId="44" fontId="3" fillId="0" borderId="21" xfId="1" applyFont="1" applyBorder="1" applyAlignment="1">
      <alignment vertical="center"/>
    </xf>
    <xf numFmtId="44" fontId="0" fillId="0" borderId="4" xfId="1" applyFont="1" applyBorder="1" applyAlignment="1"/>
    <xf numFmtId="44" fontId="6" fillId="0" borderId="7" xfId="1" applyFont="1" applyBorder="1" applyAlignment="1"/>
    <xf numFmtId="44" fontId="0" fillId="0" borderId="0" xfId="1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3" fillId="2" borderId="2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wrapText="1"/>
    </xf>
    <xf numFmtId="44" fontId="3" fillId="0" borderId="0" xfId="1" applyFont="1" applyFill="1" applyBorder="1" applyAlignment="1">
      <alignment wrapText="1"/>
    </xf>
    <xf numFmtId="164" fontId="3" fillId="0" borderId="8" xfId="1" applyNumberFormat="1" applyFont="1" applyBorder="1" applyAlignment="1"/>
    <xf numFmtId="44" fontId="3" fillId="0" borderId="8" xfId="1" applyFont="1" applyBorder="1" applyAlignment="1"/>
    <xf numFmtId="164" fontId="0" fillId="0" borderId="0" xfId="1" applyNumberFormat="1" applyFont="1" applyAlignment="1"/>
    <xf numFmtId="164" fontId="5" fillId="0" borderId="10" xfId="1" applyNumberFormat="1" applyFont="1" applyFill="1" applyBorder="1" applyAlignment="1">
      <alignment wrapText="1"/>
    </xf>
    <xf numFmtId="0" fontId="5" fillId="0" borderId="11" xfId="0" applyFont="1" applyBorder="1" applyAlignment="1">
      <alignment horizontal="center" wrapText="1"/>
    </xf>
    <xf numFmtId="0" fontId="6" fillId="0" borderId="5" xfId="0" applyFont="1" applyBorder="1"/>
    <xf numFmtId="164" fontId="2" fillId="0" borderId="5" xfId="1" applyNumberFormat="1" applyFont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wrapText="1"/>
    </xf>
    <xf numFmtId="44" fontId="5" fillId="0" borderId="10" xfId="1" applyFont="1" applyFill="1" applyBorder="1" applyAlignment="1">
      <alignment horizontal="center" wrapText="1"/>
    </xf>
    <xf numFmtId="44" fontId="5" fillId="0" borderId="11" xfId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16" fontId="3" fillId="0" borderId="0" xfId="0" applyNumberFormat="1" applyFont="1" applyAlignment="1">
      <alignment horizontal="center" wrapText="1"/>
    </xf>
    <xf numFmtId="44" fontId="0" fillId="0" borderId="0" xfId="1" applyFont="1" applyBorder="1" applyAlignment="1"/>
    <xf numFmtId="0" fontId="2" fillId="0" borderId="12" xfId="0" applyFont="1" applyBorder="1" applyAlignment="1">
      <alignment horizontal="left" wrapText="1"/>
    </xf>
    <xf numFmtId="0" fontId="3" fillId="0" borderId="20" xfId="0" applyFont="1" applyBorder="1" applyAlignment="1">
      <alignment horizontal="left" vertical="center" wrapText="1"/>
    </xf>
    <xf numFmtId="0" fontId="0" fillId="0" borderId="14" xfId="0" applyBorder="1"/>
    <xf numFmtId="0" fontId="2" fillId="0" borderId="20" xfId="0" applyFont="1" applyBorder="1" applyAlignment="1">
      <alignment horizontal="left" wrapText="1"/>
    </xf>
    <xf numFmtId="0" fontId="7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7" fillId="0" borderId="22" xfId="0" applyFont="1" applyBorder="1" applyAlignment="1">
      <alignment horizontal="left" vertical="center" wrapText="1"/>
    </xf>
    <xf numFmtId="0" fontId="0" fillId="0" borderId="16" xfId="0" applyBorder="1"/>
    <xf numFmtId="0" fontId="0" fillId="0" borderId="19" xfId="0" applyBorder="1"/>
    <xf numFmtId="44" fontId="0" fillId="0" borderId="0" xfId="1" applyFont="1" applyBorder="1"/>
    <xf numFmtId="0" fontId="0" fillId="0" borderId="8" xfId="0" applyBorder="1"/>
    <xf numFmtId="44" fontId="0" fillId="0" borderId="8" xfId="1" applyFont="1" applyBorder="1"/>
    <xf numFmtId="0" fontId="3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0" fillId="0" borderId="22" xfId="0" applyBorder="1"/>
    <xf numFmtId="0" fontId="0" fillId="0" borderId="23" xfId="0" applyBorder="1"/>
    <xf numFmtId="0" fontId="6" fillId="0" borderId="17" xfId="0" applyFont="1" applyBorder="1"/>
    <xf numFmtId="0" fontId="6" fillId="0" borderId="18" xfId="0" applyFont="1" applyBorder="1"/>
    <xf numFmtId="164" fontId="3" fillId="0" borderId="8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/>
    <xf numFmtId="165" fontId="5" fillId="0" borderId="11" xfId="1" applyNumberFormat="1" applyFont="1" applyFill="1" applyBorder="1" applyAlignment="1">
      <alignment horizontal="center" wrapText="1"/>
    </xf>
    <xf numFmtId="165" fontId="3" fillId="0" borderId="27" xfId="1" applyNumberFormat="1" applyFont="1" applyFill="1" applyBorder="1" applyAlignment="1">
      <alignment wrapText="1"/>
    </xf>
    <xf numFmtId="165" fontId="3" fillId="0" borderId="28" xfId="1" applyNumberFormat="1" applyFont="1" applyFill="1" applyBorder="1" applyAlignment="1">
      <alignment vertical="center"/>
    </xf>
    <xf numFmtId="165" fontId="3" fillId="0" borderId="29" xfId="1" applyNumberFormat="1" applyFont="1" applyFill="1" applyBorder="1" applyAlignment="1">
      <alignment vertical="center"/>
    </xf>
    <xf numFmtId="165" fontId="2" fillId="0" borderId="30" xfId="1" applyNumberFormat="1" applyFont="1" applyBorder="1" applyAlignment="1">
      <alignment vertical="center"/>
    </xf>
    <xf numFmtId="165" fontId="2" fillId="0" borderId="28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5" fontId="3" fillId="0" borderId="29" xfId="1" applyNumberFormat="1" applyFont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44" fontId="3" fillId="0" borderId="29" xfId="1" applyFont="1" applyBorder="1" applyAlignment="1">
      <alignment vertical="center"/>
    </xf>
    <xf numFmtId="44" fontId="3" fillId="0" borderId="29" xfId="1" applyFont="1" applyFill="1" applyBorder="1" applyAlignment="1">
      <alignment vertical="center"/>
    </xf>
    <xf numFmtId="44" fontId="3" fillId="0" borderId="31" xfId="1" applyFont="1" applyFill="1" applyBorder="1" applyAlignment="1">
      <alignment vertical="center"/>
    </xf>
    <xf numFmtId="44" fontId="0" fillId="0" borderId="29" xfId="1" applyFont="1" applyBorder="1" applyAlignment="1"/>
    <xf numFmtId="44" fontId="6" fillId="0" borderId="30" xfId="1" applyFont="1" applyBorder="1" applyAlignment="1"/>
    <xf numFmtId="44" fontId="0" fillId="0" borderId="14" xfId="1" applyFont="1" applyBorder="1" applyAlignment="1"/>
    <xf numFmtId="44" fontId="3" fillId="0" borderId="28" xfId="1" applyFont="1" applyFill="1" applyBorder="1" applyAlignment="1">
      <alignment horizontal="center" wrapText="1"/>
    </xf>
    <xf numFmtId="44" fontId="3" fillId="0" borderId="29" xfId="1" applyFont="1" applyFill="1" applyBorder="1" applyAlignment="1">
      <alignment horizontal="center" vertical="center"/>
    </xf>
    <xf numFmtId="44" fontId="3" fillId="0" borderId="14" xfId="1" applyFont="1" applyFill="1" applyBorder="1" applyAlignment="1">
      <alignment vertical="center"/>
    </xf>
    <xf numFmtId="44" fontId="2" fillId="0" borderId="30" xfId="1" applyFont="1" applyFill="1" applyBorder="1" applyAlignment="1">
      <alignment vertical="center"/>
    </xf>
    <xf numFmtId="44" fontId="2" fillId="0" borderId="14" xfId="1" applyFont="1" applyFill="1" applyBorder="1" applyAlignment="1">
      <alignment vertical="center"/>
    </xf>
    <xf numFmtId="44" fontId="3" fillId="0" borderId="29" xfId="1" applyFont="1" applyBorder="1" applyAlignment="1">
      <alignment horizontal="center" vertical="center"/>
    </xf>
    <xf numFmtId="44" fontId="2" fillId="0" borderId="32" xfId="1" applyFont="1" applyBorder="1"/>
    <xf numFmtId="44" fontId="5" fillId="0" borderId="11" xfId="1" applyFont="1" applyFill="1" applyBorder="1" applyAlignment="1">
      <alignment wrapText="1"/>
    </xf>
    <xf numFmtId="44" fontId="3" fillId="0" borderId="31" xfId="1" applyFont="1" applyBorder="1" applyAlignment="1">
      <alignment vertical="center"/>
    </xf>
    <xf numFmtId="44" fontId="3" fillId="0" borderId="14" xfId="1" applyFont="1" applyFill="1" applyBorder="1" applyAlignment="1">
      <alignment wrapText="1"/>
    </xf>
    <xf numFmtId="44" fontId="2" fillId="0" borderId="30" xfId="1" applyFont="1" applyBorder="1" applyAlignment="1">
      <alignment vertical="center"/>
    </xf>
    <xf numFmtId="44" fontId="3" fillId="0" borderId="14" xfId="1" applyFont="1" applyBorder="1" applyAlignment="1">
      <alignment vertical="center"/>
    </xf>
    <xf numFmtId="44" fontId="2" fillId="0" borderId="32" xfId="1" applyFont="1" applyBorder="1" applyAlignment="1">
      <alignment vertical="center"/>
    </xf>
    <xf numFmtId="44" fontId="3" fillId="0" borderId="19" xfId="1" applyFont="1" applyBorder="1" applyAlignment="1"/>
    <xf numFmtId="44" fontId="3" fillId="2" borderId="29" xfId="1" applyFont="1" applyFill="1" applyBorder="1" applyAlignment="1">
      <alignment horizontal="center" vertical="center"/>
    </xf>
    <xf numFmtId="44" fontId="3" fillId="0" borderId="14" xfId="1" applyFont="1" applyBorder="1" applyAlignment="1">
      <alignment horizontal="center" vertical="center"/>
    </xf>
    <xf numFmtId="44" fontId="2" fillId="0" borderId="30" xfId="1" applyFont="1" applyBorder="1" applyAlignment="1">
      <alignment horizontal="center" vertical="center"/>
    </xf>
    <xf numFmtId="44" fontId="3" fillId="0" borderId="31" xfId="1" applyFont="1" applyBorder="1" applyAlignment="1">
      <alignment horizontal="center" vertical="center"/>
    </xf>
    <xf numFmtId="44" fontId="2" fillId="0" borderId="32" xfId="1" applyFont="1" applyBorder="1" applyAlignment="1">
      <alignment horizontal="center" vertical="center"/>
    </xf>
    <xf numFmtId="44" fontId="0" fillId="0" borderId="14" xfId="1" applyFont="1" applyBorder="1"/>
    <xf numFmtId="44" fontId="0" fillId="0" borderId="19" xfId="1" applyFont="1" applyBorder="1"/>
    <xf numFmtId="44" fontId="0" fillId="0" borderId="0" xfId="0" applyNumberFormat="1"/>
    <xf numFmtId="165" fontId="6" fillId="0" borderId="30" xfId="1" applyNumberFormat="1" applyFont="1" applyBorder="1" applyAlignment="1"/>
    <xf numFmtId="165" fontId="3" fillId="4" borderId="29" xfId="1" applyNumberFormat="1" applyFont="1" applyFill="1" applyBorder="1" applyAlignment="1">
      <alignment vertical="center"/>
    </xf>
    <xf numFmtId="44" fontId="2" fillId="0" borderId="0" xfId="1" applyFont="1" applyFill="1" applyBorder="1" applyAlignment="1">
      <alignment horizontal="center" vertical="center" wrapText="1"/>
    </xf>
    <xf numFmtId="44" fontId="3" fillId="0" borderId="0" xfId="1" applyFont="1" applyFill="1" applyAlignment="1">
      <alignment horizontal="center" wrapText="1"/>
    </xf>
    <xf numFmtId="44" fontId="4" fillId="0" borderId="0" xfId="1" applyFont="1" applyFill="1" applyAlignment="1">
      <alignment horizontal="center" wrapText="1"/>
    </xf>
    <xf numFmtId="164" fontId="5" fillId="0" borderId="0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33" xfId="0" applyFont="1" applyBorder="1" applyAlignment="1">
      <alignment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3" fillId="0" borderId="3" xfId="0" applyFont="1" applyBorder="1" applyAlignment="1">
      <alignment vertical="center"/>
    </xf>
    <xf numFmtId="164" fontId="3" fillId="5" borderId="2" xfId="1" applyNumberFormat="1" applyFont="1" applyFill="1" applyBorder="1" applyAlignment="1">
      <alignment horizontal="center" vertical="center"/>
    </xf>
    <xf numFmtId="164" fontId="3" fillId="5" borderId="0" xfId="1" applyNumberFormat="1" applyFont="1" applyFill="1" applyAlignment="1">
      <alignment horizontal="center"/>
    </xf>
    <xf numFmtId="44" fontId="5" fillId="6" borderId="2" xfId="1" applyFont="1" applyFill="1" applyBorder="1" applyAlignment="1">
      <alignment horizontal="center" wrapText="1"/>
    </xf>
    <xf numFmtId="44" fontId="3" fillId="6" borderId="25" xfId="1" applyFont="1" applyFill="1" applyBorder="1" applyAlignment="1">
      <alignment horizontal="center" vertical="center" wrapText="1"/>
    </xf>
    <xf numFmtId="164" fontId="2" fillId="6" borderId="26" xfId="0" applyNumberFormat="1" applyFont="1" applyFill="1" applyBorder="1" applyAlignment="1">
      <alignment horizontal="center" vertical="center" wrapText="1"/>
    </xf>
    <xf numFmtId="44" fontId="3" fillId="6" borderId="0" xfId="1" applyFont="1" applyFill="1" applyBorder="1" applyAlignment="1">
      <alignment horizontal="center" vertical="center" wrapText="1"/>
    </xf>
    <xf numFmtId="44" fontId="2" fillId="6" borderId="0" xfId="1" applyFont="1" applyFill="1" applyBorder="1" applyAlignment="1">
      <alignment horizontal="center" vertical="center" wrapText="1"/>
    </xf>
    <xf numFmtId="44" fontId="3" fillId="6" borderId="0" xfId="1" applyFont="1" applyFill="1" applyAlignment="1">
      <alignment horizontal="center" vertical="center" wrapText="1"/>
    </xf>
    <xf numFmtId="164" fontId="2" fillId="6" borderId="5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wrapText="1"/>
    </xf>
    <xf numFmtId="164" fontId="3" fillId="5" borderId="0" xfId="1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0" xfId="0" applyNumberFormat="1" applyFont="1" applyFill="1" applyAlignment="1">
      <alignment horizontal="center" vertical="center" wrapText="1"/>
    </xf>
    <xf numFmtId="164" fontId="3" fillId="5" borderId="0" xfId="0" applyNumberFormat="1" applyFont="1" applyFill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wrapText="1"/>
    </xf>
    <xf numFmtId="164" fontId="3" fillId="5" borderId="0" xfId="1" applyNumberFormat="1" applyFont="1" applyFill="1" applyAlignment="1">
      <alignment horizontal="center" vertical="center"/>
    </xf>
    <xf numFmtId="164" fontId="3" fillId="5" borderId="2" xfId="1" applyNumberFormat="1" applyFont="1" applyFill="1" applyBorder="1" applyAlignment="1">
      <alignment horizontal="center"/>
    </xf>
    <xf numFmtId="164" fontId="3" fillId="4" borderId="0" xfId="1" applyNumberFormat="1" applyFont="1" applyFill="1" applyAlignment="1">
      <alignment horizontal="center"/>
    </xf>
    <xf numFmtId="0" fontId="3" fillId="0" borderId="2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31" xfId="1" applyFont="1" applyFill="1" applyBorder="1" applyAlignment="1">
      <alignment horizontal="center" vertical="center"/>
    </xf>
    <xf numFmtId="44" fontId="2" fillId="0" borderId="10" xfId="1" applyFont="1" applyFill="1" applyBorder="1" applyAlignment="1">
      <alignment horizontal="center" wrapText="1"/>
    </xf>
    <xf numFmtId="44" fontId="2" fillId="0" borderId="11" xfId="1" applyFont="1" applyFill="1" applyBorder="1" applyAlignment="1">
      <alignment horizontal="center" wrapText="1"/>
    </xf>
    <xf numFmtId="44" fontId="2" fillId="0" borderId="8" xfId="1" applyFont="1" applyBorder="1" applyAlignment="1">
      <alignment horizontal="center" vertical="center"/>
    </xf>
    <xf numFmtId="44" fontId="2" fillId="0" borderId="19" xfId="1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4" fontId="3" fillId="0" borderId="7" xfId="1" applyFont="1" applyBorder="1" applyAlignment="1">
      <alignment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30" xfId="1" applyFont="1" applyFill="1" applyBorder="1" applyAlignment="1">
      <alignment vertical="center"/>
    </xf>
    <xf numFmtId="44" fontId="5" fillId="7" borderId="11" xfId="1" applyFont="1" applyFill="1" applyBorder="1" applyAlignment="1">
      <alignment horizontal="center" wrapText="1"/>
    </xf>
    <xf numFmtId="44" fontId="3" fillId="7" borderId="31" xfId="1" applyFont="1" applyFill="1" applyBorder="1" applyAlignment="1">
      <alignment horizontal="center" vertical="center"/>
    </xf>
    <xf numFmtId="44" fontId="3" fillId="7" borderId="29" xfId="1" applyFont="1" applyFill="1" applyBorder="1" applyAlignment="1">
      <alignment vertical="center"/>
    </xf>
    <xf numFmtId="44" fontId="2" fillId="7" borderId="19" xfId="1" applyFont="1" applyFill="1" applyBorder="1" applyAlignment="1">
      <alignment vertical="center"/>
    </xf>
    <xf numFmtId="44" fontId="2" fillId="7" borderId="14" xfId="1" applyFont="1" applyFill="1" applyBorder="1" applyAlignment="1">
      <alignment vertical="center"/>
    </xf>
    <xf numFmtId="44" fontId="3" fillId="7" borderId="29" xfId="1" applyFont="1" applyFill="1" applyBorder="1" applyAlignment="1">
      <alignment horizontal="center" vertical="center"/>
    </xf>
    <xf numFmtId="44" fontId="3" fillId="7" borderId="31" xfId="1" applyFont="1" applyFill="1" applyBorder="1" applyAlignment="1">
      <alignment vertical="center"/>
    </xf>
    <xf numFmtId="44" fontId="3" fillId="7" borderId="14" xfId="1" applyFont="1" applyFill="1" applyBorder="1" applyAlignment="1">
      <alignment vertical="center"/>
    </xf>
    <xf numFmtId="44" fontId="2" fillId="7" borderId="30" xfId="1" applyFont="1" applyFill="1" applyBorder="1" applyAlignment="1">
      <alignment vertical="center"/>
    </xf>
    <xf numFmtId="44" fontId="2" fillId="7" borderId="32" xfId="1" applyFont="1" applyFill="1" applyBorder="1"/>
    <xf numFmtId="0" fontId="3" fillId="7" borderId="19" xfId="0" applyFont="1" applyFill="1" applyBorder="1"/>
    <xf numFmtId="44" fontId="5" fillId="5" borderId="11" xfId="1" applyFont="1" applyFill="1" applyBorder="1" applyAlignment="1">
      <alignment horizontal="center" wrapText="1"/>
    </xf>
    <xf numFmtId="44" fontId="2" fillId="5" borderId="11" xfId="1" applyFont="1" applyFill="1" applyBorder="1" applyAlignment="1">
      <alignment horizontal="center" wrapText="1"/>
    </xf>
    <xf numFmtId="44" fontId="3" fillId="5" borderId="31" xfId="1" applyFont="1" applyFill="1" applyBorder="1" applyAlignment="1">
      <alignment horizontal="center" vertical="center"/>
    </xf>
    <xf numFmtId="44" fontId="3" fillId="5" borderId="29" xfId="1" applyFont="1" applyFill="1" applyBorder="1" applyAlignment="1">
      <alignment vertical="center"/>
    </xf>
    <xf numFmtId="44" fontId="3" fillId="5" borderId="30" xfId="1" applyFont="1" applyFill="1" applyBorder="1" applyAlignment="1">
      <alignment vertical="center"/>
    </xf>
    <xf numFmtId="44" fontId="2" fillId="5" borderId="19" xfId="1" applyFont="1" applyFill="1" applyBorder="1" applyAlignment="1">
      <alignment vertical="center"/>
    </xf>
    <xf numFmtId="44" fontId="2" fillId="5" borderId="14" xfId="1" applyFont="1" applyFill="1" applyBorder="1" applyAlignment="1">
      <alignment vertical="center"/>
    </xf>
    <xf numFmtId="44" fontId="3" fillId="5" borderId="29" xfId="1" applyFont="1" applyFill="1" applyBorder="1" applyAlignment="1">
      <alignment horizontal="center" vertical="center"/>
    </xf>
    <xf numFmtId="44" fontId="3" fillId="5" borderId="31" xfId="1" applyFont="1" applyFill="1" applyBorder="1" applyAlignment="1">
      <alignment vertical="center"/>
    </xf>
    <xf numFmtId="44" fontId="3" fillId="5" borderId="14" xfId="1" applyFont="1" applyFill="1" applyBorder="1" applyAlignment="1">
      <alignment vertical="center"/>
    </xf>
    <xf numFmtId="44" fontId="2" fillId="5" borderId="30" xfId="1" applyFont="1" applyFill="1" applyBorder="1" applyAlignment="1">
      <alignment vertical="center"/>
    </xf>
    <xf numFmtId="44" fontId="2" fillId="5" borderId="32" xfId="1" applyFont="1" applyFill="1" applyBorder="1"/>
    <xf numFmtId="0" fontId="3" fillId="5" borderId="19" xfId="0" applyFont="1" applyFill="1" applyBorder="1"/>
    <xf numFmtId="165" fontId="5" fillId="6" borderId="11" xfId="1" applyNumberFormat="1" applyFont="1" applyFill="1" applyBorder="1" applyAlignment="1">
      <alignment horizontal="center" wrapText="1"/>
    </xf>
    <xf numFmtId="165" fontId="3" fillId="6" borderId="29" xfId="1" applyNumberFormat="1" applyFont="1" applyFill="1" applyBorder="1" applyAlignment="1">
      <alignment vertical="center"/>
    </xf>
    <xf numFmtId="165" fontId="2" fillId="6" borderId="30" xfId="1" applyNumberFormat="1" applyFont="1" applyFill="1" applyBorder="1" applyAlignment="1">
      <alignment vertical="center"/>
    </xf>
    <xf numFmtId="165" fontId="2" fillId="6" borderId="28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44" fontId="3" fillId="6" borderId="29" xfId="1" applyFont="1" applyFill="1" applyBorder="1" applyAlignment="1">
      <alignment vertical="center"/>
    </xf>
    <xf numFmtId="44" fontId="3" fillId="6" borderId="31" xfId="1" applyFont="1" applyFill="1" applyBorder="1" applyAlignment="1">
      <alignment vertical="center"/>
    </xf>
    <xf numFmtId="44" fontId="0" fillId="6" borderId="29" xfId="1" applyFont="1" applyFill="1" applyBorder="1" applyAlignment="1"/>
    <xf numFmtId="44" fontId="6" fillId="6" borderId="30" xfId="1" applyFont="1" applyFill="1" applyBorder="1" applyAlignment="1"/>
    <xf numFmtId="44" fontId="0" fillId="6" borderId="14" xfId="1" applyFont="1" applyFill="1" applyBorder="1" applyAlignment="1"/>
    <xf numFmtId="165" fontId="6" fillId="6" borderId="30" xfId="1" applyNumberFormat="1" applyFont="1" applyFill="1" applyBorder="1" applyAlignment="1"/>
    <xf numFmtId="165" fontId="5" fillId="5" borderId="11" xfId="1" applyNumberFormat="1" applyFont="1" applyFill="1" applyBorder="1" applyAlignment="1">
      <alignment horizontal="center" wrapText="1"/>
    </xf>
    <xf numFmtId="165" fontId="3" fillId="5" borderId="27" xfId="1" applyNumberFormat="1" applyFont="1" applyFill="1" applyBorder="1" applyAlignment="1">
      <alignment wrapText="1"/>
    </xf>
    <xf numFmtId="165" fontId="3" fillId="5" borderId="28" xfId="1" applyNumberFormat="1" applyFont="1" applyFill="1" applyBorder="1" applyAlignment="1">
      <alignment vertical="center"/>
    </xf>
    <xf numFmtId="165" fontId="3" fillId="5" borderId="29" xfId="1" applyNumberFormat="1" applyFont="1" applyFill="1" applyBorder="1" applyAlignment="1">
      <alignment vertical="center"/>
    </xf>
    <xf numFmtId="165" fontId="2" fillId="5" borderId="30" xfId="1" applyNumberFormat="1" applyFont="1" applyFill="1" applyBorder="1" applyAlignment="1">
      <alignment vertical="center"/>
    </xf>
    <xf numFmtId="165" fontId="2" fillId="5" borderId="28" xfId="1" applyNumberFormat="1" applyFont="1" applyFill="1" applyBorder="1" applyAlignment="1">
      <alignment vertical="center"/>
    </xf>
    <xf numFmtId="165" fontId="3" fillId="5" borderId="31" xfId="1" applyNumberFormat="1" applyFont="1" applyFill="1" applyBorder="1" applyAlignment="1">
      <alignment vertical="center"/>
    </xf>
    <xf numFmtId="44" fontId="6" fillId="5" borderId="30" xfId="1" applyFont="1" applyFill="1" applyBorder="1" applyAlignment="1"/>
    <xf numFmtId="44" fontId="0" fillId="5" borderId="14" xfId="1" applyFont="1" applyFill="1" applyBorder="1" applyAlignment="1"/>
    <xf numFmtId="165" fontId="6" fillId="5" borderId="30" xfId="1" applyNumberFormat="1" applyFont="1" applyFill="1" applyBorder="1" applyAlignment="1"/>
    <xf numFmtId="44" fontId="3" fillId="0" borderId="21" xfId="1" applyFont="1" applyFill="1" applyBorder="1" applyAlignment="1">
      <alignment vertical="center"/>
    </xf>
    <xf numFmtId="44" fontId="2" fillId="0" borderId="7" xfId="1" applyFont="1" applyFill="1" applyBorder="1" applyAlignment="1">
      <alignment vertical="center"/>
    </xf>
    <xf numFmtId="44" fontId="2" fillId="0" borderId="21" xfId="1" applyFont="1" applyFill="1" applyBorder="1" applyAlignment="1">
      <alignment vertical="center"/>
    </xf>
    <xf numFmtId="44" fontId="6" fillId="0" borderId="7" xfId="1" applyFont="1" applyFill="1" applyBorder="1" applyAlignment="1"/>
    <xf numFmtId="44" fontId="3" fillId="0" borderId="0" xfId="1" applyFont="1" applyFill="1" applyBorder="1" applyAlignment="1">
      <alignment vertical="center"/>
    </xf>
    <xf numFmtId="44" fontId="3" fillId="6" borderId="29" xfId="1" applyFont="1" applyFill="1" applyBorder="1" applyAlignment="1">
      <alignment horizontal="center" vertical="center"/>
    </xf>
    <xf numFmtId="44" fontId="3" fillId="6" borderId="14" xfId="1" applyFont="1" applyFill="1" applyBorder="1" applyAlignment="1">
      <alignment horizontal="center" vertical="center"/>
    </xf>
    <xf numFmtId="44" fontId="2" fillId="6" borderId="30" xfId="1" applyFont="1" applyFill="1" applyBorder="1" applyAlignment="1">
      <alignment horizontal="center" vertical="center"/>
    </xf>
    <xf numFmtId="44" fontId="3" fillId="6" borderId="31" xfId="1" applyFont="1" applyFill="1" applyBorder="1" applyAlignment="1">
      <alignment horizontal="center" vertical="center"/>
    </xf>
    <xf numFmtId="44" fontId="2" fillId="6" borderId="32" xfId="1" applyFont="1" applyFill="1" applyBorder="1" applyAlignment="1">
      <alignment horizontal="center" vertical="center"/>
    </xf>
    <xf numFmtId="44" fontId="3" fillId="5" borderId="28" xfId="1" applyFont="1" applyFill="1" applyBorder="1" applyAlignment="1">
      <alignment horizontal="center" wrapText="1"/>
    </xf>
    <xf numFmtId="44" fontId="3" fillId="5" borderId="14" xfId="1" applyFont="1" applyFill="1" applyBorder="1" applyAlignment="1">
      <alignment horizontal="center" vertical="center"/>
    </xf>
    <xf numFmtId="44" fontId="2" fillId="5" borderId="30" xfId="1" applyFont="1" applyFill="1" applyBorder="1" applyAlignment="1">
      <alignment horizontal="center" vertical="center"/>
    </xf>
    <xf numFmtId="44" fontId="2" fillId="5" borderId="32" xfId="1" applyFont="1" applyFill="1" applyBorder="1" applyAlignment="1">
      <alignment horizontal="center" vertical="center"/>
    </xf>
    <xf numFmtId="44" fontId="5" fillId="6" borderId="11" xfId="1" applyFont="1" applyFill="1" applyBorder="1" applyAlignment="1">
      <alignment horizontal="center" wrapText="1"/>
    </xf>
    <xf numFmtId="44" fontId="2" fillId="0" borderId="7" xfId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3" fillId="0" borderId="8" xfId="1" applyFont="1" applyFill="1" applyBorder="1" applyAlignment="1">
      <alignment horizontal="center" vertical="center"/>
    </xf>
    <xf numFmtId="44" fontId="0" fillId="0" borderId="0" xfId="1" applyFont="1" applyFill="1"/>
    <xf numFmtId="44" fontId="3" fillId="0" borderId="19" xfId="1" applyFont="1" applyFill="1" applyBorder="1" applyAlignment="1"/>
    <xf numFmtId="44" fontId="0" fillId="0" borderId="0" xfId="1" applyFont="1" applyFill="1" applyAlignment="1"/>
    <xf numFmtId="44" fontId="5" fillId="6" borderId="11" xfId="1" applyFont="1" applyFill="1" applyBorder="1" applyAlignment="1">
      <alignment wrapText="1"/>
    </xf>
    <xf numFmtId="44" fontId="3" fillId="6" borderId="14" xfId="1" applyFont="1" applyFill="1" applyBorder="1" applyAlignment="1">
      <alignment wrapText="1"/>
    </xf>
    <xf numFmtId="44" fontId="2" fillId="6" borderId="30" xfId="1" applyFont="1" applyFill="1" applyBorder="1" applyAlignment="1">
      <alignment vertical="center"/>
    </xf>
    <xf numFmtId="44" fontId="3" fillId="6" borderId="14" xfId="1" applyFont="1" applyFill="1" applyBorder="1" applyAlignment="1">
      <alignment vertical="center"/>
    </xf>
    <xf numFmtId="44" fontId="2" fillId="6" borderId="32" xfId="1" applyFont="1" applyFill="1" applyBorder="1" applyAlignment="1">
      <alignment vertical="center"/>
    </xf>
    <xf numFmtId="44" fontId="5" fillId="5" borderId="11" xfId="1" applyFont="1" applyFill="1" applyBorder="1" applyAlignment="1">
      <alignment wrapText="1"/>
    </xf>
    <xf numFmtId="44" fontId="3" fillId="5" borderId="14" xfId="1" applyFont="1" applyFill="1" applyBorder="1" applyAlignment="1">
      <alignment wrapText="1"/>
    </xf>
    <xf numFmtId="44" fontId="2" fillId="5" borderId="32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5" borderId="0" xfId="1" applyNumberFormat="1" applyFont="1" applyFill="1" applyBorder="1" applyAlignment="1">
      <alignment horizontal="center"/>
    </xf>
    <xf numFmtId="0" fontId="2" fillId="0" borderId="36" xfId="0" applyFont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5" borderId="6" xfId="1" applyNumberFormat="1" applyFont="1" applyFill="1" applyBorder="1" applyAlignment="1">
      <alignment horizontal="center"/>
    </xf>
    <xf numFmtId="0" fontId="2" fillId="0" borderId="33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37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164" fontId="2" fillId="0" borderId="5" xfId="1" applyNumberFormat="1" applyFont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164" fontId="12" fillId="6" borderId="0" xfId="1" applyNumberFormat="1" applyFont="1" applyFill="1" applyBorder="1" applyAlignment="1">
      <alignment horizontal="center" vertical="center"/>
    </xf>
    <xf numFmtId="164" fontId="13" fillId="6" borderId="0" xfId="1" applyNumberFormat="1" applyFont="1" applyFill="1" applyBorder="1" applyAlignment="1">
      <alignment horizontal="center" vertical="center"/>
    </xf>
    <xf numFmtId="164" fontId="12" fillId="6" borderId="0" xfId="1" applyNumberFormat="1" applyFont="1" applyFill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164" fontId="12" fillId="6" borderId="0" xfId="1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13" fillId="0" borderId="6" xfId="1" applyNumberFormat="1" applyFont="1" applyFill="1" applyBorder="1" applyAlignment="1">
      <alignment horizontal="center"/>
    </xf>
    <xf numFmtId="164" fontId="12" fillId="4" borderId="0" xfId="1" applyNumberFormat="1" applyFont="1" applyFill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164" fontId="12" fillId="4" borderId="0" xfId="1" applyNumberFormat="1" applyFont="1" applyFill="1" applyAlignment="1">
      <alignment horizontal="center" vertical="center"/>
    </xf>
    <xf numFmtId="44" fontId="3" fillId="4" borderId="29" xfId="1" applyFont="1" applyFill="1" applyBorder="1" applyAlignment="1">
      <alignment vertical="center"/>
    </xf>
    <xf numFmtId="44" fontId="15" fillId="6" borderId="31" xfId="1" applyFont="1" applyFill="1" applyBorder="1" applyAlignment="1">
      <alignment horizontal="center" vertical="center"/>
    </xf>
    <xf numFmtId="44" fontId="15" fillId="7" borderId="30" xfId="1" applyFont="1" applyFill="1" applyBorder="1" applyAlignment="1">
      <alignment vertical="center"/>
    </xf>
    <xf numFmtId="165" fontId="3" fillId="4" borderId="28" xfId="1" quotePrefix="1" applyNumberFormat="1" applyFont="1" applyFill="1" applyBorder="1" applyAlignment="1">
      <alignment vertical="center"/>
    </xf>
    <xf numFmtId="0" fontId="3" fillId="0" borderId="38" xfId="0" applyFont="1" applyBorder="1" applyAlignment="1">
      <alignment vertical="center"/>
    </xf>
    <xf numFmtId="44" fontId="3" fillId="0" borderId="6" xfId="1" applyFont="1" applyBorder="1" applyAlignment="1">
      <alignment vertical="center"/>
    </xf>
    <xf numFmtId="44" fontId="3" fillId="0" borderId="6" xfId="1" applyFont="1" applyFill="1" applyBorder="1" applyAlignment="1">
      <alignment vertical="center"/>
    </xf>
    <xf numFmtId="165" fontId="3" fillId="0" borderId="39" xfId="1" applyNumberFormat="1" applyFont="1" applyFill="1" applyBorder="1" applyAlignment="1">
      <alignment vertical="center"/>
    </xf>
    <xf numFmtId="165" fontId="3" fillId="6" borderId="39" xfId="1" applyNumberFormat="1" applyFont="1" applyFill="1" applyBorder="1" applyAlignment="1">
      <alignment vertical="center"/>
    </xf>
    <xf numFmtId="165" fontId="3" fillId="5" borderId="39" xfId="1" applyNumberFormat="1" applyFont="1" applyFill="1" applyBorder="1" applyAlignment="1">
      <alignment vertical="center"/>
    </xf>
    <xf numFmtId="0" fontId="0" fillId="0" borderId="6" xfId="0" applyBorder="1"/>
    <xf numFmtId="44" fontId="0" fillId="0" borderId="6" xfId="1" applyFont="1" applyBorder="1" applyAlignment="1"/>
    <xf numFmtId="44" fontId="0" fillId="0" borderId="39" xfId="1" applyFont="1" applyBorder="1" applyAlignment="1"/>
    <xf numFmtId="44" fontId="3" fillId="5" borderId="39" xfId="1" applyFont="1" applyFill="1" applyBorder="1" applyAlignment="1">
      <alignment vertical="center"/>
    </xf>
    <xf numFmtId="44" fontId="0" fillId="4" borderId="39" xfId="1" applyFont="1" applyFill="1" applyBorder="1" applyAlignment="1"/>
    <xf numFmtId="164" fontId="3" fillId="4" borderId="0" xfId="1" applyNumberFormat="1" applyFont="1" applyFill="1" applyAlignment="1">
      <alignment horizontal="center" vertical="center"/>
    </xf>
    <xf numFmtId="165" fontId="15" fillId="6" borderId="27" xfId="1" applyNumberFormat="1" applyFont="1" applyFill="1" applyBorder="1" applyAlignment="1">
      <alignment wrapText="1"/>
    </xf>
    <xf numFmtId="44" fontId="16" fillId="7" borderId="11" xfId="1" applyFont="1" applyFill="1" applyBorder="1" applyAlignment="1">
      <alignment horizontal="center" wrapText="1"/>
    </xf>
    <xf numFmtId="44" fontId="15" fillId="6" borderId="28" xfId="1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164" fontId="3" fillId="8" borderId="0" xfId="1" applyNumberFormat="1" applyFont="1" applyFill="1" applyBorder="1" applyAlignment="1">
      <alignment horizontal="center" vertical="center" wrapText="1"/>
    </xf>
    <xf numFmtId="164" fontId="2" fillId="8" borderId="7" xfId="0" applyNumberFormat="1" applyFont="1" applyFill="1" applyBorder="1" applyAlignment="1">
      <alignment horizontal="center" vertical="center" wrapText="1"/>
    </xf>
    <xf numFmtId="164" fontId="2" fillId="8" borderId="0" xfId="0" applyNumberFormat="1" applyFont="1" applyFill="1" applyAlignment="1">
      <alignment horizontal="center" vertical="center" wrapText="1"/>
    </xf>
    <xf numFmtId="164" fontId="3" fillId="8" borderId="0" xfId="0" applyNumberFormat="1" applyFont="1" applyFill="1" applyAlignment="1">
      <alignment horizontal="center" vertical="center" wrapText="1"/>
    </xf>
    <xf numFmtId="164" fontId="2" fillId="8" borderId="5" xfId="0" applyNumberFormat="1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wrapText="1"/>
    </xf>
    <xf numFmtId="164" fontId="3" fillId="8" borderId="0" xfId="1" applyNumberFormat="1" applyFont="1" applyFill="1" applyAlignment="1">
      <alignment horizontal="center" vertical="center"/>
    </xf>
    <xf numFmtId="164" fontId="3" fillId="8" borderId="0" xfId="1" applyNumberFormat="1" applyFont="1" applyFill="1" applyAlignment="1">
      <alignment horizontal="center"/>
    </xf>
    <xf numFmtId="164" fontId="3" fillId="8" borderId="6" xfId="1" applyNumberFormat="1" applyFont="1" applyFill="1" applyBorder="1" applyAlignment="1">
      <alignment horizontal="center"/>
    </xf>
    <xf numFmtId="164" fontId="3" fillId="8" borderId="0" xfId="1" applyNumberFormat="1" applyFont="1" applyFill="1" applyBorder="1" applyAlignment="1">
      <alignment horizontal="center"/>
    </xf>
    <xf numFmtId="164" fontId="3" fillId="8" borderId="2" xfId="1" applyNumberFormat="1" applyFont="1" applyFill="1" applyBorder="1" applyAlignment="1">
      <alignment horizontal="center"/>
    </xf>
    <xf numFmtId="164" fontId="2" fillId="8" borderId="5" xfId="1" applyNumberFormat="1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44" fontId="3" fillId="8" borderId="31" xfId="1" applyFont="1" applyFill="1" applyBorder="1" applyAlignment="1">
      <alignment vertical="center"/>
    </xf>
    <xf numFmtId="44" fontId="3" fillId="8" borderId="14" xfId="1" applyFont="1" applyFill="1" applyBorder="1" applyAlignment="1">
      <alignment wrapText="1"/>
    </xf>
    <xf numFmtId="44" fontId="2" fillId="8" borderId="30" xfId="1" applyFont="1" applyFill="1" applyBorder="1" applyAlignment="1">
      <alignment vertical="center"/>
    </xf>
    <xf numFmtId="44" fontId="3" fillId="8" borderId="14" xfId="1" applyFont="1" applyFill="1" applyBorder="1" applyAlignment="1">
      <alignment vertical="center"/>
    </xf>
    <xf numFmtId="44" fontId="3" fillId="8" borderId="29" xfId="1" applyFont="1" applyFill="1" applyBorder="1" applyAlignment="1">
      <alignment vertical="center"/>
    </xf>
    <xf numFmtId="44" fontId="2" fillId="8" borderId="32" xfId="1" applyFont="1" applyFill="1" applyBorder="1" applyAlignment="1">
      <alignment vertical="center"/>
    </xf>
    <xf numFmtId="44" fontId="3" fillId="8" borderId="19" xfId="1" applyFont="1" applyFill="1" applyBorder="1" applyAlignment="1"/>
    <xf numFmtId="44" fontId="0" fillId="8" borderId="0" xfId="1" applyFont="1" applyFill="1" applyAlignment="1"/>
    <xf numFmtId="44" fontId="3" fillId="8" borderId="28" xfId="1" applyFont="1" applyFill="1" applyBorder="1" applyAlignment="1">
      <alignment horizontal="center" wrapText="1"/>
    </xf>
    <xf numFmtId="44" fontId="3" fillId="8" borderId="29" xfId="1" applyFont="1" applyFill="1" applyBorder="1" applyAlignment="1">
      <alignment horizontal="center" vertical="center"/>
    </xf>
    <xf numFmtId="44" fontId="3" fillId="8" borderId="14" xfId="1" applyFont="1" applyFill="1" applyBorder="1" applyAlignment="1">
      <alignment horizontal="center" vertical="center"/>
    </xf>
    <xf numFmtId="44" fontId="2" fillId="8" borderId="30" xfId="1" applyFont="1" applyFill="1" applyBorder="1" applyAlignment="1">
      <alignment horizontal="center" vertical="center"/>
    </xf>
    <xf numFmtId="44" fontId="3" fillId="8" borderId="31" xfId="1" applyFont="1" applyFill="1" applyBorder="1" applyAlignment="1">
      <alignment horizontal="center" vertical="center"/>
    </xf>
    <xf numFmtId="44" fontId="2" fillId="8" borderId="32" xfId="1" applyFont="1" applyFill="1" applyBorder="1" applyAlignment="1">
      <alignment horizontal="center" vertical="center"/>
    </xf>
    <xf numFmtId="44" fontId="0" fillId="8" borderId="14" xfId="1" applyFont="1" applyFill="1" applyBorder="1"/>
    <xf numFmtId="44" fontId="0" fillId="8" borderId="19" xfId="1" applyFont="1" applyFill="1" applyBorder="1"/>
    <xf numFmtId="165" fontId="3" fillId="8" borderId="27" xfId="1" applyNumberFormat="1" applyFont="1" applyFill="1" applyBorder="1" applyAlignment="1">
      <alignment wrapText="1"/>
    </xf>
    <xf numFmtId="165" fontId="3" fillId="8" borderId="28" xfId="1" applyNumberFormat="1" applyFont="1" applyFill="1" applyBorder="1" applyAlignment="1">
      <alignment vertical="center"/>
    </xf>
    <xf numFmtId="165" fontId="3" fillId="8" borderId="29" xfId="1" applyNumberFormat="1" applyFont="1" applyFill="1" applyBorder="1" applyAlignment="1">
      <alignment vertical="center"/>
    </xf>
    <xf numFmtId="165" fontId="3" fillId="8" borderId="39" xfId="1" applyNumberFormat="1" applyFont="1" applyFill="1" applyBorder="1" applyAlignment="1">
      <alignment vertical="center"/>
    </xf>
    <xf numFmtId="165" fontId="2" fillId="8" borderId="30" xfId="1" applyNumberFormat="1" applyFont="1" applyFill="1" applyBorder="1" applyAlignment="1">
      <alignment vertical="center"/>
    </xf>
    <xf numFmtId="165" fontId="2" fillId="8" borderId="28" xfId="1" applyNumberFormat="1" applyFont="1" applyFill="1" applyBorder="1" applyAlignment="1">
      <alignment vertical="center"/>
    </xf>
    <xf numFmtId="165" fontId="3" fillId="8" borderId="31" xfId="1" applyNumberFormat="1" applyFont="1" applyFill="1" applyBorder="1" applyAlignment="1">
      <alignment vertical="center"/>
    </xf>
    <xf numFmtId="44" fontId="0" fillId="8" borderId="29" xfId="1" applyFont="1" applyFill="1" applyBorder="1" applyAlignment="1"/>
    <xf numFmtId="44" fontId="0" fillId="8" borderId="39" xfId="1" applyFont="1" applyFill="1" applyBorder="1" applyAlignment="1"/>
    <xf numFmtId="44" fontId="6" fillId="8" borderId="30" xfId="1" applyFont="1" applyFill="1" applyBorder="1" applyAlignment="1"/>
    <xf numFmtId="44" fontId="0" fillId="8" borderId="14" xfId="1" applyFont="1" applyFill="1" applyBorder="1" applyAlignment="1"/>
    <xf numFmtId="165" fontId="6" fillId="8" borderId="30" xfId="1" applyNumberFormat="1" applyFont="1" applyFill="1" applyBorder="1" applyAlignment="1"/>
    <xf numFmtId="44" fontId="2" fillId="8" borderId="14" xfId="1" applyFont="1" applyFill="1" applyBorder="1" applyAlignment="1">
      <alignment vertical="center"/>
    </xf>
    <xf numFmtId="44" fontId="2" fillId="8" borderId="32" xfId="1" applyFont="1" applyFill="1" applyBorder="1"/>
    <xf numFmtId="0" fontId="3" fillId="8" borderId="19" xfId="0" applyFont="1" applyFill="1" applyBorder="1"/>
    <xf numFmtId="0" fontId="5" fillId="9" borderId="2" xfId="0" applyFont="1" applyFill="1" applyBorder="1" applyAlignment="1">
      <alignment horizontal="center" wrapText="1"/>
    </xf>
    <xf numFmtId="164" fontId="3" fillId="9" borderId="0" xfId="1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164" fontId="2" fillId="9" borderId="0" xfId="0" applyNumberFormat="1" applyFont="1" applyFill="1" applyAlignment="1">
      <alignment horizontal="center" vertical="center" wrapText="1"/>
    </xf>
    <xf numFmtId="164" fontId="3" fillId="9" borderId="0" xfId="0" applyNumberFormat="1" applyFont="1" applyFill="1" applyAlignment="1">
      <alignment horizontal="center" vertical="center" wrapText="1"/>
    </xf>
    <xf numFmtId="164" fontId="2" fillId="9" borderId="5" xfId="0" applyNumberFormat="1" applyFont="1" applyFill="1" applyBorder="1" applyAlignment="1">
      <alignment horizontal="center" vertical="center" wrapText="1"/>
    </xf>
    <xf numFmtId="164" fontId="3" fillId="9" borderId="0" xfId="1" applyNumberFormat="1" applyFont="1" applyFill="1" applyAlignment="1">
      <alignment horizontal="center" vertical="center"/>
    </xf>
    <xf numFmtId="164" fontId="3" fillId="9" borderId="0" xfId="1" applyNumberFormat="1" applyFont="1" applyFill="1" applyAlignment="1">
      <alignment horizontal="center"/>
    </xf>
    <xf numFmtId="164" fontId="3" fillId="9" borderId="6" xfId="1" applyNumberFormat="1" applyFont="1" applyFill="1" applyBorder="1" applyAlignment="1">
      <alignment horizontal="center"/>
    </xf>
    <xf numFmtId="164" fontId="3" fillId="9" borderId="0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2" fillId="9" borderId="5" xfId="1" applyNumberFormat="1" applyFont="1" applyFill="1" applyBorder="1" applyAlignment="1">
      <alignment horizontal="center"/>
    </xf>
    <xf numFmtId="44" fontId="3" fillId="9" borderId="31" xfId="1" applyFont="1" applyFill="1" applyBorder="1" applyAlignment="1">
      <alignment vertical="center"/>
    </xf>
    <xf numFmtId="44" fontId="3" fillId="9" borderId="14" xfId="1" applyFont="1" applyFill="1" applyBorder="1" applyAlignment="1">
      <alignment wrapText="1"/>
    </xf>
    <xf numFmtId="44" fontId="2" fillId="9" borderId="30" xfId="1" applyFont="1" applyFill="1" applyBorder="1" applyAlignment="1">
      <alignment vertical="center"/>
    </xf>
    <xf numFmtId="44" fontId="3" fillId="9" borderId="14" xfId="1" applyFont="1" applyFill="1" applyBorder="1" applyAlignment="1">
      <alignment vertical="center"/>
    </xf>
    <xf numFmtId="44" fontId="3" fillId="9" borderId="29" xfId="1" applyFont="1" applyFill="1" applyBorder="1" applyAlignment="1">
      <alignment vertical="center"/>
    </xf>
    <xf numFmtId="44" fontId="2" fillId="9" borderId="32" xfId="1" applyFont="1" applyFill="1" applyBorder="1" applyAlignment="1">
      <alignment vertical="center"/>
    </xf>
    <xf numFmtId="44" fontId="3" fillId="9" borderId="19" xfId="1" applyFont="1" applyFill="1" applyBorder="1" applyAlignment="1"/>
    <xf numFmtId="44" fontId="3" fillId="9" borderId="28" xfId="1" applyFont="1" applyFill="1" applyBorder="1" applyAlignment="1">
      <alignment horizontal="center" wrapText="1"/>
    </xf>
    <xf numFmtId="44" fontId="3" fillId="9" borderId="29" xfId="1" applyFont="1" applyFill="1" applyBorder="1" applyAlignment="1">
      <alignment horizontal="center" vertical="center"/>
    </xf>
    <xf numFmtId="44" fontId="3" fillId="9" borderId="14" xfId="1" applyFont="1" applyFill="1" applyBorder="1" applyAlignment="1">
      <alignment horizontal="center" vertical="center"/>
    </xf>
    <xf numFmtId="44" fontId="2" fillId="9" borderId="30" xfId="1" applyFont="1" applyFill="1" applyBorder="1" applyAlignment="1">
      <alignment horizontal="center" vertical="center"/>
    </xf>
    <xf numFmtId="44" fontId="3" fillId="9" borderId="31" xfId="1" applyFont="1" applyFill="1" applyBorder="1" applyAlignment="1">
      <alignment horizontal="center" vertical="center"/>
    </xf>
    <xf numFmtId="44" fontId="2" fillId="9" borderId="32" xfId="1" applyFont="1" applyFill="1" applyBorder="1" applyAlignment="1">
      <alignment horizontal="center" vertical="center"/>
    </xf>
    <xf numFmtId="165" fontId="3" fillId="9" borderId="27" xfId="1" applyNumberFormat="1" applyFont="1" applyFill="1" applyBorder="1" applyAlignment="1">
      <alignment wrapText="1"/>
    </xf>
    <xf numFmtId="165" fontId="3" fillId="9" borderId="28" xfId="1" applyNumberFormat="1" applyFont="1" applyFill="1" applyBorder="1" applyAlignment="1">
      <alignment vertical="center"/>
    </xf>
    <xf numFmtId="165" fontId="3" fillId="9" borderId="29" xfId="1" applyNumberFormat="1" applyFont="1" applyFill="1" applyBorder="1" applyAlignment="1">
      <alignment vertical="center"/>
    </xf>
    <xf numFmtId="165" fontId="3" fillId="9" borderId="39" xfId="1" applyNumberFormat="1" applyFont="1" applyFill="1" applyBorder="1" applyAlignment="1">
      <alignment vertical="center"/>
    </xf>
    <xf numFmtId="165" fontId="2" fillId="9" borderId="30" xfId="1" applyNumberFormat="1" applyFont="1" applyFill="1" applyBorder="1" applyAlignment="1">
      <alignment vertical="center"/>
    </xf>
    <xf numFmtId="165" fontId="2" fillId="9" borderId="28" xfId="1" applyNumberFormat="1" applyFont="1" applyFill="1" applyBorder="1" applyAlignment="1">
      <alignment vertical="center"/>
    </xf>
    <xf numFmtId="165" fontId="3" fillId="9" borderId="31" xfId="1" applyNumberFormat="1" applyFont="1" applyFill="1" applyBorder="1" applyAlignment="1">
      <alignment vertical="center"/>
    </xf>
    <xf numFmtId="44" fontId="0" fillId="9" borderId="29" xfId="1" applyFont="1" applyFill="1" applyBorder="1" applyAlignment="1"/>
    <xf numFmtId="44" fontId="0" fillId="9" borderId="39" xfId="1" applyFont="1" applyFill="1" applyBorder="1" applyAlignment="1"/>
    <xf numFmtId="44" fontId="6" fillId="9" borderId="30" xfId="1" applyFont="1" applyFill="1" applyBorder="1" applyAlignment="1"/>
    <xf numFmtId="44" fontId="0" fillId="9" borderId="14" xfId="1" applyFont="1" applyFill="1" applyBorder="1" applyAlignment="1"/>
    <xf numFmtId="165" fontId="6" fillId="9" borderId="30" xfId="1" applyNumberFormat="1" applyFont="1" applyFill="1" applyBorder="1" applyAlignment="1"/>
    <xf numFmtId="44" fontId="2" fillId="9" borderId="14" xfId="1" applyFont="1" applyFill="1" applyBorder="1" applyAlignment="1">
      <alignment vertical="center"/>
    </xf>
    <xf numFmtId="44" fontId="2" fillId="9" borderId="32" xfId="1" applyFont="1" applyFill="1" applyBorder="1"/>
    <xf numFmtId="0" fontId="4" fillId="0" borderId="6" xfId="0" applyFont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164" fontId="2" fillId="0" borderId="41" xfId="1" applyNumberFormat="1" applyFont="1" applyFill="1" applyBorder="1" applyAlignment="1">
      <alignment horizontal="center" vertical="center" wrapText="1"/>
    </xf>
    <xf numFmtId="164" fontId="16" fillId="4" borderId="41" xfId="1" applyNumberFormat="1" applyFont="1" applyFill="1" applyBorder="1" applyAlignment="1">
      <alignment horizontal="center" vertical="center" wrapText="1"/>
    </xf>
    <xf numFmtId="164" fontId="2" fillId="5" borderId="6" xfId="1" applyNumberFormat="1" applyFont="1" applyFill="1" applyBorder="1" applyAlignment="1">
      <alignment horizontal="center" vertical="center" wrapText="1"/>
    </xf>
    <xf numFmtId="164" fontId="2" fillId="8" borderId="6" xfId="1" applyNumberFormat="1" applyFont="1" applyFill="1" applyBorder="1" applyAlignment="1">
      <alignment horizontal="center" vertical="center" wrapText="1"/>
    </xf>
    <xf numFmtId="164" fontId="2" fillId="9" borderId="6" xfId="1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 wrapText="1"/>
    </xf>
    <xf numFmtId="164" fontId="2" fillId="6" borderId="42" xfId="0" applyNumberFormat="1" applyFont="1" applyFill="1" applyBorder="1" applyAlignment="1">
      <alignment horizontal="center" vertical="center" wrapText="1"/>
    </xf>
    <xf numFmtId="164" fontId="2" fillId="5" borderId="42" xfId="0" applyNumberFormat="1" applyFont="1" applyFill="1" applyBorder="1" applyAlignment="1">
      <alignment horizontal="center" vertical="center" wrapText="1"/>
    </xf>
    <xf numFmtId="164" fontId="2" fillId="8" borderId="42" xfId="0" applyNumberFormat="1" applyFont="1" applyFill="1" applyBorder="1" applyAlignment="1">
      <alignment horizontal="center" vertical="center" wrapText="1"/>
    </xf>
    <xf numFmtId="164" fontId="2" fillId="9" borderId="42" xfId="0" applyNumberFormat="1" applyFont="1" applyFill="1" applyBorder="1" applyAlignment="1">
      <alignment horizontal="center" vertical="center" wrapText="1"/>
    </xf>
    <xf numFmtId="0" fontId="3" fillId="0" borderId="40" xfId="0" applyFont="1" applyBorder="1" applyAlignment="1">
      <alignment vertical="center"/>
    </xf>
    <xf numFmtId="0" fontId="3" fillId="0" borderId="40" xfId="0" applyFont="1" applyBorder="1" applyAlignment="1">
      <alignment horizontal="left" vertical="center"/>
    </xf>
    <xf numFmtId="164" fontId="3" fillId="0" borderId="40" xfId="1" applyNumberFormat="1" applyFont="1" applyBorder="1" applyAlignment="1">
      <alignment horizontal="center" vertical="center" wrapText="1"/>
    </xf>
    <xf numFmtId="164" fontId="3" fillId="0" borderId="40" xfId="1" applyNumberFormat="1" applyFont="1" applyFill="1" applyBorder="1" applyAlignment="1">
      <alignment horizontal="center" vertical="center" wrapText="1"/>
    </xf>
    <xf numFmtId="164" fontId="3" fillId="6" borderId="40" xfId="1" applyNumberFormat="1" applyFont="1" applyFill="1" applyBorder="1" applyAlignment="1">
      <alignment horizontal="center" vertical="center" wrapText="1"/>
    </xf>
    <xf numFmtId="164" fontId="3" fillId="5" borderId="40" xfId="1" applyNumberFormat="1" applyFont="1" applyFill="1" applyBorder="1" applyAlignment="1">
      <alignment horizontal="center" vertical="center" wrapText="1"/>
    </xf>
    <xf numFmtId="164" fontId="3" fillId="8" borderId="40" xfId="1" applyNumberFormat="1" applyFont="1" applyFill="1" applyBorder="1" applyAlignment="1">
      <alignment horizontal="center" vertical="center" wrapText="1"/>
    </xf>
    <xf numFmtId="164" fontId="3" fillId="9" borderId="40" xfId="1" applyNumberFormat="1" applyFont="1" applyFill="1" applyBorder="1" applyAlignment="1">
      <alignment horizontal="center" vertical="center" wrapText="1"/>
    </xf>
    <xf numFmtId="164" fontId="3" fillId="4" borderId="40" xfId="1" applyNumberFormat="1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vertical="center"/>
    </xf>
    <xf numFmtId="44" fontId="3" fillId="6" borderId="40" xfId="1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wrapText="1"/>
    </xf>
    <xf numFmtId="0" fontId="5" fillId="8" borderId="40" xfId="0" applyFont="1" applyFill="1" applyBorder="1" applyAlignment="1">
      <alignment horizontal="center" wrapText="1"/>
    </xf>
    <xf numFmtId="0" fontId="5" fillId="9" borderId="40" xfId="0" applyFont="1" applyFill="1" applyBorder="1" applyAlignment="1">
      <alignment horizontal="center" wrapText="1"/>
    </xf>
    <xf numFmtId="164" fontId="3" fillId="5" borderId="40" xfId="1" applyNumberFormat="1" applyFont="1" applyFill="1" applyBorder="1" applyAlignment="1">
      <alignment horizontal="center" vertical="center"/>
    </xf>
    <xf numFmtId="164" fontId="3" fillId="8" borderId="40" xfId="1" applyNumberFormat="1" applyFont="1" applyFill="1" applyBorder="1" applyAlignment="1">
      <alignment horizontal="center" vertical="center"/>
    </xf>
    <xf numFmtId="164" fontId="3" fillId="9" borderId="40" xfId="1" applyNumberFormat="1" applyFont="1" applyFill="1" applyBorder="1" applyAlignment="1">
      <alignment horizontal="center" vertical="center"/>
    </xf>
    <xf numFmtId="164" fontId="12" fillId="5" borderId="0" xfId="1" applyNumberFormat="1" applyFont="1" applyFill="1" applyBorder="1" applyAlignment="1">
      <alignment horizontal="center" vertical="center" wrapText="1"/>
    </xf>
    <xf numFmtId="164" fontId="13" fillId="5" borderId="0" xfId="0" applyNumberFormat="1" applyFont="1" applyFill="1" applyAlignment="1">
      <alignment horizontal="center" vertical="center" wrapText="1"/>
    </xf>
    <xf numFmtId="164" fontId="12" fillId="5" borderId="0" xfId="0" applyNumberFormat="1" applyFont="1" applyFill="1" applyAlignment="1">
      <alignment horizontal="center" vertical="center" wrapText="1"/>
    </xf>
    <xf numFmtId="164" fontId="13" fillId="5" borderId="7" xfId="0" applyNumberFormat="1" applyFont="1" applyFill="1" applyBorder="1" applyAlignment="1">
      <alignment horizontal="center" vertical="center" wrapText="1"/>
    </xf>
    <xf numFmtId="164" fontId="13" fillId="5" borderId="5" xfId="0" applyNumberFormat="1" applyFont="1" applyFill="1" applyBorder="1" applyAlignment="1">
      <alignment horizontal="center" vertical="center" wrapText="1"/>
    </xf>
    <xf numFmtId="164" fontId="3" fillId="8" borderId="40" xfId="1" applyNumberFormat="1" applyFont="1" applyFill="1" applyBorder="1" applyAlignment="1">
      <alignment horizontal="center"/>
    </xf>
    <xf numFmtId="164" fontId="3" fillId="9" borderId="40" xfId="1" applyNumberFormat="1" applyFont="1" applyFill="1" applyBorder="1" applyAlignment="1">
      <alignment horizontal="center"/>
    </xf>
    <xf numFmtId="164" fontId="3" fillId="5" borderId="40" xfId="1" applyNumberFormat="1" applyFont="1" applyFill="1" applyBorder="1" applyAlignment="1">
      <alignment horizontal="center"/>
    </xf>
    <xf numFmtId="164" fontId="3" fillId="8" borderId="43" xfId="1" applyNumberFormat="1" applyFont="1" applyFill="1" applyBorder="1" applyAlignment="1">
      <alignment horizontal="center" vertical="center"/>
    </xf>
    <xf numFmtId="164" fontId="3" fillId="5" borderId="43" xfId="1" applyNumberFormat="1" applyFont="1" applyFill="1" applyBorder="1" applyAlignment="1">
      <alignment horizontal="center" vertical="center"/>
    </xf>
    <xf numFmtId="164" fontId="3" fillId="9" borderId="43" xfId="1" applyNumberFormat="1" applyFont="1" applyFill="1" applyBorder="1" applyAlignment="1">
      <alignment horizontal="center" vertical="center"/>
    </xf>
    <xf numFmtId="164" fontId="2" fillId="8" borderId="7" xfId="1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164" fontId="2" fillId="9" borderId="7" xfId="1" applyNumberFormat="1" applyFont="1" applyFill="1" applyBorder="1" applyAlignment="1">
      <alignment horizontal="center" vertical="center"/>
    </xf>
    <xf numFmtId="164" fontId="13" fillId="0" borderId="7" xfId="1" applyNumberFormat="1" applyFont="1" applyFill="1" applyBorder="1" applyAlignment="1">
      <alignment horizontal="center" vertical="center"/>
    </xf>
    <xf numFmtId="164" fontId="2" fillId="5" borderId="5" xfId="1" applyNumberFormat="1" applyFont="1" applyFill="1" applyBorder="1" applyAlignment="1">
      <alignment horizontal="center"/>
    </xf>
    <xf numFmtId="44" fontId="3" fillId="5" borderId="19" xfId="1" applyFont="1" applyFill="1" applyBorder="1" applyAlignment="1"/>
    <xf numFmtId="44" fontId="3" fillId="8" borderId="2" xfId="1" applyFont="1" applyFill="1" applyBorder="1" applyAlignment="1">
      <alignment vertical="center"/>
    </xf>
    <xf numFmtId="44" fontId="3" fillId="5" borderId="40" xfId="1" applyFont="1" applyFill="1" applyBorder="1" applyAlignment="1">
      <alignment vertical="center"/>
    </xf>
    <xf numFmtId="44" fontId="0" fillId="5" borderId="14" xfId="1" applyFont="1" applyFill="1" applyBorder="1"/>
    <xf numFmtId="44" fontId="0" fillId="5" borderId="19" xfId="1" applyFont="1" applyFill="1" applyBorder="1"/>
    <xf numFmtId="44" fontId="2" fillId="8" borderId="28" xfId="1" applyFont="1" applyFill="1" applyBorder="1" applyAlignment="1">
      <alignment horizontal="center" wrapText="1"/>
    </xf>
    <xf numFmtId="44" fontId="0" fillId="5" borderId="29" xfId="1" applyFont="1" applyFill="1" applyBorder="1" applyAlignment="1"/>
    <xf numFmtId="44" fontId="0" fillId="5" borderId="39" xfId="1" applyFont="1" applyFill="1" applyBorder="1" applyAlignment="1"/>
    <xf numFmtId="44" fontId="0" fillId="4" borderId="29" xfId="1" applyFont="1" applyFill="1" applyBorder="1" applyAlignment="1"/>
    <xf numFmtId="0" fontId="3" fillId="0" borderId="40" xfId="0" applyFont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1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164" fontId="2" fillId="5" borderId="7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1"/>
  <sheetViews>
    <sheetView topLeftCell="A31" zoomScale="70" zoomScaleNormal="70" zoomScaleSheetLayoutView="90" workbookViewId="0">
      <selection activeCell="AA83" sqref="AA83"/>
    </sheetView>
  </sheetViews>
  <sheetFormatPr defaultColWidth="9.140625" defaultRowHeight="18.75" x14ac:dyDescent="0.3"/>
  <cols>
    <col min="1" max="1" width="12" style="20" customWidth="1"/>
    <col min="2" max="2" width="14.28515625" style="20" customWidth="1"/>
    <col min="3" max="3" width="17.28515625" style="20" customWidth="1"/>
    <col min="4" max="9" width="16.28515625" style="21" hidden="1" customWidth="1"/>
    <col min="10" max="10" width="16.5703125" style="195" hidden="1" customWidth="1"/>
    <col min="11" max="11" width="17.42578125" style="21" hidden="1" customWidth="1"/>
    <col min="12" max="15" width="17.42578125" style="368" customWidth="1"/>
    <col min="16" max="16" width="16.140625" style="22" customWidth="1"/>
    <col min="17" max="17" width="31.5703125" style="22" customWidth="1"/>
    <col min="18" max="18" width="19.7109375" style="101" hidden="1" customWidth="1"/>
    <col min="19" max="19" width="15.7109375" style="101" hidden="1" customWidth="1"/>
    <col min="20" max="20" width="18.140625" style="101" hidden="1" customWidth="1"/>
    <col min="21" max="21" width="18.28515625" style="114" hidden="1" customWidth="1"/>
    <col min="22" max="22" width="18.28515625" style="338" hidden="1" customWidth="1"/>
    <col min="23" max="23" width="18.28515625" style="114" hidden="1" customWidth="1"/>
    <col min="24" max="24" width="18.28515625" style="377" customWidth="1"/>
    <col min="25" max="25" width="18.28515625" style="114" customWidth="1"/>
    <col min="26" max="27" width="18.28515625" style="377" customWidth="1"/>
    <col min="28" max="28" width="20.28515625" customWidth="1"/>
  </cols>
  <sheetData>
    <row r="1" spans="1:29" s="38" customFormat="1" ht="56.25" x14ac:dyDescent="0.3">
      <c r="A1" s="507" t="s">
        <v>0</v>
      </c>
      <c r="B1" s="507"/>
      <c r="C1" s="104"/>
      <c r="D1" s="105" t="s">
        <v>1</v>
      </c>
      <c r="E1" s="105" t="s">
        <v>2</v>
      </c>
      <c r="F1" s="105" t="s">
        <v>3</v>
      </c>
      <c r="G1" s="105" t="s">
        <v>4</v>
      </c>
      <c r="H1" s="105" t="s">
        <v>5</v>
      </c>
      <c r="I1" s="105" t="s">
        <v>6</v>
      </c>
      <c r="J1" s="210" t="s">
        <v>248</v>
      </c>
      <c r="K1" s="217" t="s">
        <v>247</v>
      </c>
      <c r="L1" s="362" t="s">
        <v>337</v>
      </c>
      <c r="M1" s="223" t="s">
        <v>338</v>
      </c>
      <c r="N1" s="362" t="s">
        <v>339</v>
      </c>
      <c r="O1" s="409" t="s">
        <v>341</v>
      </c>
      <c r="P1" s="508" t="s">
        <v>7</v>
      </c>
      <c r="Q1" s="509"/>
      <c r="R1" s="106" t="s">
        <v>8</v>
      </c>
      <c r="S1" s="106" t="s">
        <v>4</v>
      </c>
      <c r="T1" s="105" t="s">
        <v>5</v>
      </c>
      <c r="U1" s="105" t="s">
        <v>9</v>
      </c>
      <c r="V1" s="329" t="s">
        <v>248</v>
      </c>
      <c r="W1" s="217" t="s">
        <v>247</v>
      </c>
      <c r="X1" s="362" t="s">
        <v>337</v>
      </c>
      <c r="Y1" s="223" t="s">
        <v>338</v>
      </c>
      <c r="Z1" s="362" t="s">
        <v>339</v>
      </c>
      <c r="AA1" s="409" t="s">
        <v>341</v>
      </c>
    </row>
    <row r="2" spans="1:29" x14ac:dyDescent="0.3">
      <c r="A2" s="505" t="s">
        <v>10</v>
      </c>
      <c r="B2" s="505"/>
      <c r="C2" s="505"/>
      <c r="D2" s="448"/>
      <c r="E2" s="448"/>
      <c r="F2" s="449">
        <v>312875</v>
      </c>
      <c r="G2" s="449">
        <f>F35</f>
        <v>361744</v>
      </c>
      <c r="H2" s="449">
        <f>G2</f>
        <v>361744</v>
      </c>
      <c r="I2" s="450">
        <f>H35</f>
        <v>538672.87</v>
      </c>
      <c r="J2" s="451">
        <v>448737</v>
      </c>
      <c r="K2" s="452">
        <f>J2</f>
        <v>448737</v>
      </c>
      <c r="L2" s="453">
        <f>K2</f>
        <v>448737</v>
      </c>
      <c r="M2" s="452"/>
      <c r="N2" s="453">
        <v>448737</v>
      </c>
      <c r="O2" s="454"/>
      <c r="P2" s="10" t="s">
        <v>273</v>
      </c>
      <c r="Q2" s="4" t="s">
        <v>274</v>
      </c>
      <c r="R2" s="196"/>
      <c r="S2" s="196"/>
      <c r="T2" s="197"/>
      <c r="U2" s="197"/>
      <c r="V2" s="330"/>
      <c r="W2" s="473"/>
      <c r="X2" s="474"/>
      <c r="Y2" s="473"/>
      <c r="Z2" s="474"/>
      <c r="AA2" s="475"/>
      <c r="AB2" s="38"/>
      <c r="AC2" s="38"/>
    </row>
    <row r="3" spans="1:29" s="2" customFormat="1" ht="14.25" customHeight="1" x14ac:dyDescent="0.25">
      <c r="A3" s="462" t="s">
        <v>12</v>
      </c>
      <c r="B3" s="504" t="s">
        <v>13</v>
      </c>
      <c r="C3" s="504"/>
      <c r="D3" s="464">
        <v>50000</v>
      </c>
      <c r="E3" s="464">
        <v>26237.37</v>
      </c>
      <c r="F3" s="465">
        <v>56056.05</v>
      </c>
      <c r="G3" s="465">
        <v>52500</v>
      </c>
      <c r="H3" s="465">
        <f>97864.6+13944.8</f>
        <v>111809.40000000001</v>
      </c>
      <c r="I3" s="465">
        <v>68325.350000000006</v>
      </c>
      <c r="J3" s="466">
        <v>68452.179999999993</v>
      </c>
      <c r="K3" s="467">
        <v>67965.69</v>
      </c>
      <c r="L3" s="468">
        <v>67965.69</v>
      </c>
      <c r="M3" s="467"/>
      <c r="N3" s="468">
        <v>67965.69</v>
      </c>
      <c r="O3" s="469">
        <v>-819.85</v>
      </c>
      <c r="P3" s="12" t="s">
        <v>11</v>
      </c>
      <c r="Q3" s="12" t="s">
        <v>275</v>
      </c>
      <c r="R3" s="99">
        <v>3250</v>
      </c>
      <c r="S3" s="99">
        <v>3500</v>
      </c>
      <c r="T3" s="99">
        <v>3125</v>
      </c>
      <c r="U3" s="23">
        <v>6000</v>
      </c>
      <c r="V3" s="331">
        <v>3000</v>
      </c>
      <c r="W3" s="476">
        <v>4800</v>
      </c>
      <c r="X3" s="477">
        <v>4800</v>
      </c>
      <c r="Y3" s="476"/>
      <c r="Z3" s="477">
        <f>X3+Y3</f>
        <v>4800</v>
      </c>
      <c r="AA3" s="478">
        <v>4550</v>
      </c>
      <c r="AB3"/>
      <c r="AC3"/>
    </row>
    <row r="4" spans="1:29" s="2" customFormat="1" ht="14.25" customHeight="1" x14ac:dyDescent="0.25">
      <c r="A4" s="462" t="s">
        <v>16</v>
      </c>
      <c r="B4" s="504" t="s">
        <v>17</v>
      </c>
      <c r="C4" s="504"/>
      <c r="D4" s="464"/>
      <c r="E4" s="464">
        <v>6940.74</v>
      </c>
      <c r="F4" s="465">
        <v>24467.47</v>
      </c>
      <c r="G4" s="465">
        <v>14500</v>
      </c>
      <c r="H4" s="465">
        <v>-1822.77</v>
      </c>
      <c r="I4" s="465">
        <v>0</v>
      </c>
      <c r="J4" s="466">
        <v>7584.92</v>
      </c>
      <c r="K4" s="470">
        <v>8155</v>
      </c>
      <c r="L4" s="468">
        <v>8155</v>
      </c>
      <c r="M4" s="467"/>
      <c r="N4" s="468">
        <v>8155</v>
      </c>
      <c r="O4" s="469">
        <v>5425.02</v>
      </c>
      <c r="P4" s="2" t="s">
        <v>14</v>
      </c>
      <c r="Q4" s="2" t="s">
        <v>15</v>
      </c>
      <c r="R4" s="99">
        <v>1011.88</v>
      </c>
      <c r="S4" s="99">
        <v>1500</v>
      </c>
      <c r="T4" s="99">
        <v>547.92999999999995</v>
      </c>
      <c r="U4" s="99">
        <f>1600+200</f>
        <v>1800</v>
      </c>
      <c r="V4" s="331">
        <v>2126.75</v>
      </c>
      <c r="W4" s="476">
        <v>1800</v>
      </c>
      <c r="X4" s="477">
        <v>1800</v>
      </c>
      <c r="Y4" s="476"/>
      <c r="Z4" s="477">
        <f t="shared" ref="Z4:Z10" si="0">X4+Y4</f>
        <v>1800</v>
      </c>
      <c r="AA4" s="478">
        <v>338.12</v>
      </c>
      <c r="AB4" s="2" t="s">
        <v>260</v>
      </c>
    </row>
    <row r="5" spans="1:29" s="2" customFormat="1" ht="14.25" customHeight="1" x14ac:dyDescent="0.25">
      <c r="A5" s="462" t="s">
        <v>19</v>
      </c>
      <c r="B5" s="504" t="s">
        <v>20</v>
      </c>
      <c r="C5" s="504"/>
      <c r="D5" s="464">
        <v>6000</v>
      </c>
      <c r="E5" s="464">
        <v>8802.48</v>
      </c>
      <c r="F5" s="465">
        <v>9689.9699999999993</v>
      </c>
      <c r="G5" s="465">
        <v>9689</v>
      </c>
      <c r="H5" s="465">
        <v>9825.31</v>
      </c>
      <c r="I5" s="465">
        <v>9825</v>
      </c>
      <c r="J5" s="466">
        <v>10150.11</v>
      </c>
      <c r="K5" s="467">
        <v>10000</v>
      </c>
      <c r="L5" s="468">
        <v>10000</v>
      </c>
      <c r="M5" s="467"/>
      <c r="N5" s="468">
        <v>10000</v>
      </c>
      <c r="O5" s="469"/>
      <c r="P5" s="2" t="s">
        <v>18</v>
      </c>
      <c r="Q5" s="2" t="s">
        <v>64</v>
      </c>
      <c r="R5" s="100">
        <v>3021.25</v>
      </c>
      <c r="S5" s="100">
        <v>15000</v>
      </c>
      <c r="T5" s="100">
        <v>12866.97</v>
      </c>
      <c r="U5" s="100">
        <v>15000</v>
      </c>
      <c r="V5" s="331">
        <v>26395.5</v>
      </c>
      <c r="W5" s="476">
        <v>7000</v>
      </c>
      <c r="X5" s="477">
        <v>7000</v>
      </c>
      <c r="Y5" s="476">
        <v>25000</v>
      </c>
      <c r="Z5" s="477">
        <f t="shared" si="0"/>
        <v>32000</v>
      </c>
      <c r="AA5" s="478">
        <v>19275.23</v>
      </c>
      <c r="AB5" s="2" t="s">
        <v>269</v>
      </c>
    </row>
    <row r="6" spans="1:29" s="2" customFormat="1" ht="14.25" customHeight="1" x14ac:dyDescent="0.25">
      <c r="A6" s="462" t="s">
        <v>23</v>
      </c>
      <c r="B6" s="504" t="s">
        <v>24</v>
      </c>
      <c r="C6" s="504"/>
      <c r="D6" s="464"/>
      <c r="E6" s="464"/>
      <c r="F6" s="465">
        <v>0</v>
      </c>
      <c r="G6" s="465">
        <v>0</v>
      </c>
      <c r="H6" s="465">
        <v>0</v>
      </c>
      <c r="I6" s="465">
        <v>0</v>
      </c>
      <c r="J6" s="466">
        <f>1314.34</f>
        <v>1314.34</v>
      </c>
      <c r="K6" s="467">
        <v>0</v>
      </c>
      <c r="L6" s="468">
        <v>0</v>
      </c>
      <c r="M6" s="467"/>
      <c r="N6" s="468">
        <v>0</v>
      </c>
      <c r="O6" s="469">
        <v>0.54</v>
      </c>
      <c r="P6" s="2" t="s">
        <v>297</v>
      </c>
      <c r="Q6" s="2" t="s">
        <v>83</v>
      </c>
      <c r="R6" s="100"/>
      <c r="S6" s="100"/>
      <c r="T6" s="100">
        <v>0</v>
      </c>
      <c r="U6" s="100">
        <v>0</v>
      </c>
      <c r="V6" s="331">
        <v>0</v>
      </c>
      <c r="W6" s="476">
        <v>500</v>
      </c>
      <c r="X6" s="477">
        <v>500</v>
      </c>
      <c r="Y6" s="476"/>
      <c r="Z6" s="477">
        <f t="shared" si="0"/>
        <v>500</v>
      </c>
      <c r="AA6" s="478"/>
    </row>
    <row r="7" spans="1:29" s="2" customFormat="1" ht="14.25" customHeight="1" x14ac:dyDescent="0.25">
      <c r="A7" s="462" t="s">
        <v>26</v>
      </c>
      <c r="B7" s="504" t="s">
        <v>27</v>
      </c>
      <c r="C7" s="504"/>
      <c r="D7" s="464">
        <v>10500</v>
      </c>
      <c r="E7" s="464">
        <v>9684.9699999999993</v>
      </c>
      <c r="F7" s="465">
        <v>7235.09</v>
      </c>
      <c r="G7" s="465">
        <v>12000</v>
      </c>
      <c r="H7" s="465">
        <v>12690.59</v>
      </c>
      <c r="I7" s="465">
        <v>12500</v>
      </c>
      <c r="J7" s="466">
        <v>13547.66</v>
      </c>
      <c r="K7" s="467">
        <v>15104.35</v>
      </c>
      <c r="L7" s="468">
        <v>15104.35</v>
      </c>
      <c r="M7" s="467"/>
      <c r="N7" s="468">
        <v>15104.35</v>
      </c>
      <c r="O7" s="469">
        <v>8642.66</v>
      </c>
      <c r="P7" s="2" t="s">
        <v>21</v>
      </c>
      <c r="Q7" s="2" t="s">
        <v>22</v>
      </c>
      <c r="R7" s="100">
        <v>1691.81</v>
      </c>
      <c r="S7" s="100">
        <v>2500</v>
      </c>
      <c r="T7" s="100">
        <v>945.81</v>
      </c>
      <c r="U7" s="100">
        <v>2500</v>
      </c>
      <c r="V7" s="331">
        <v>1708.74</v>
      </c>
      <c r="W7" s="476">
        <v>1500</v>
      </c>
      <c r="X7" s="477">
        <v>1500</v>
      </c>
      <c r="Y7" s="476"/>
      <c r="Z7" s="477">
        <f t="shared" si="0"/>
        <v>1500</v>
      </c>
      <c r="AA7" s="478">
        <v>695.85</v>
      </c>
      <c r="AB7" s="2" t="s">
        <v>259</v>
      </c>
    </row>
    <row r="8" spans="1:29" s="2" customFormat="1" ht="14.25" customHeight="1" x14ac:dyDescent="0.25">
      <c r="A8" s="462" t="s">
        <v>30</v>
      </c>
      <c r="B8" s="504" t="s">
        <v>31</v>
      </c>
      <c r="C8" s="504"/>
      <c r="D8" s="464">
        <v>4000</v>
      </c>
      <c r="E8" s="464"/>
      <c r="F8" s="465">
        <v>0</v>
      </c>
      <c r="G8" s="465">
        <v>6762</v>
      </c>
      <c r="H8" s="465">
        <v>6852.05</v>
      </c>
      <c r="I8" s="465">
        <v>0</v>
      </c>
      <c r="J8" s="466">
        <v>7459.73</v>
      </c>
      <c r="K8" s="467">
        <v>7500</v>
      </c>
      <c r="L8" s="468">
        <v>7500</v>
      </c>
      <c r="M8" s="467"/>
      <c r="N8" s="468">
        <v>7500</v>
      </c>
      <c r="O8" s="469">
        <v>4490</v>
      </c>
      <c r="P8" s="2" t="s">
        <v>25</v>
      </c>
      <c r="Q8" s="2" t="s">
        <v>258</v>
      </c>
      <c r="R8" s="100">
        <v>2695</v>
      </c>
      <c r="S8" s="100">
        <v>2600</v>
      </c>
      <c r="T8" s="100">
        <v>2221.3000000000002</v>
      </c>
      <c r="U8" s="25">
        <v>5000</v>
      </c>
      <c r="V8" s="331">
        <v>9921.44</v>
      </c>
      <c r="W8" s="476">
        <v>10600</v>
      </c>
      <c r="X8" s="477">
        <v>10600</v>
      </c>
      <c r="Y8" s="476"/>
      <c r="Z8" s="477">
        <f t="shared" si="0"/>
        <v>10600</v>
      </c>
      <c r="AA8" s="478">
        <v>10965.69</v>
      </c>
      <c r="AB8" s="2" t="s">
        <v>333</v>
      </c>
    </row>
    <row r="9" spans="1:29" s="2" customFormat="1" ht="14.25" customHeight="1" x14ac:dyDescent="0.25">
      <c r="A9" s="462" t="s">
        <v>34</v>
      </c>
      <c r="B9" s="504" t="s">
        <v>35</v>
      </c>
      <c r="C9" s="504"/>
      <c r="D9" s="464"/>
      <c r="E9" s="464"/>
      <c r="F9" s="465">
        <v>0</v>
      </c>
      <c r="G9" s="465">
        <v>0</v>
      </c>
      <c r="H9" s="465">
        <v>320</v>
      </c>
      <c r="I9" s="465">
        <v>320</v>
      </c>
      <c r="J9" s="466">
        <v>1820</v>
      </c>
      <c r="K9" s="470">
        <v>1600</v>
      </c>
      <c r="L9" s="468">
        <v>1600</v>
      </c>
      <c r="M9" s="467"/>
      <c r="N9" s="468">
        <v>1600</v>
      </c>
      <c r="O9" s="469">
        <v>1160</v>
      </c>
      <c r="P9" s="2" t="s">
        <v>301</v>
      </c>
      <c r="Q9" s="2" t="s">
        <v>188</v>
      </c>
      <c r="R9" s="100"/>
      <c r="S9" s="100"/>
      <c r="T9" s="100">
        <v>0</v>
      </c>
      <c r="U9" s="25">
        <v>0</v>
      </c>
      <c r="V9" s="331">
        <v>125.55</v>
      </c>
      <c r="W9" s="476">
        <v>0</v>
      </c>
      <c r="X9" s="477">
        <v>0</v>
      </c>
      <c r="Y9" s="476"/>
      <c r="Z9" s="477">
        <f t="shared" si="0"/>
        <v>0</v>
      </c>
      <c r="AA9" s="478">
        <v>302.27999999999997</v>
      </c>
    </row>
    <row r="10" spans="1:29" s="2" customFormat="1" ht="14.25" customHeight="1" x14ac:dyDescent="0.25">
      <c r="A10" s="462" t="s">
        <v>328</v>
      </c>
      <c r="B10" s="463" t="s">
        <v>329</v>
      </c>
      <c r="C10" s="463"/>
      <c r="D10" s="464"/>
      <c r="E10" s="464"/>
      <c r="F10" s="465"/>
      <c r="G10" s="465"/>
      <c r="H10" s="465">
        <v>0</v>
      </c>
      <c r="I10" s="465">
        <v>0</v>
      </c>
      <c r="J10" s="466">
        <v>1135</v>
      </c>
      <c r="K10" s="467">
        <v>0</v>
      </c>
      <c r="L10" s="468">
        <v>0</v>
      </c>
      <c r="M10" s="467"/>
      <c r="N10" s="468">
        <v>0</v>
      </c>
      <c r="O10" s="469"/>
      <c r="P10" s="40" t="s">
        <v>28</v>
      </c>
      <c r="Q10" s="40" t="s">
        <v>29</v>
      </c>
      <c r="R10" s="199">
        <v>0</v>
      </c>
      <c r="S10" s="199">
        <f>48078</f>
        <v>48078</v>
      </c>
      <c r="T10" s="199">
        <v>0</v>
      </c>
      <c r="U10" s="199">
        <v>30000</v>
      </c>
      <c r="V10" s="334">
        <v>9734.39</v>
      </c>
      <c r="W10" s="476">
        <v>30000</v>
      </c>
      <c r="X10" s="477">
        <v>30000</v>
      </c>
      <c r="Y10" s="476"/>
      <c r="Z10" s="477">
        <f t="shared" si="0"/>
        <v>30000</v>
      </c>
      <c r="AA10" s="478">
        <f>11030+1100</f>
        <v>12130</v>
      </c>
      <c r="AB10" s="2" t="s">
        <v>340</v>
      </c>
    </row>
    <row r="11" spans="1:29" s="2" customFormat="1" ht="14.25" customHeight="1" thickBot="1" x14ac:dyDescent="0.3">
      <c r="A11" s="462" t="s">
        <v>38</v>
      </c>
      <c r="B11" s="504" t="s">
        <v>39</v>
      </c>
      <c r="C11" s="504"/>
      <c r="D11" s="464">
        <v>154887</v>
      </c>
      <c r="E11" s="464">
        <v>129215</v>
      </c>
      <c r="F11" s="465">
        <v>148860</v>
      </c>
      <c r="G11" s="465">
        <v>99000</v>
      </c>
      <c r="H11" s="465">
        <v>220505.47</v>
      </c>
      <c r="I11" s="465">
        <v>110252.735</v>
      </c>
      <c r="J11" s="466">
        <v>208662</v>
      </c>
      <c r="K11" s="467">
        <v>187821</v>
      </c>
      <c r="L11" s="468">
        <v>187821</v>
      </c>
      <c r="M11" s="467"/>
      <c r="N11" s="468">
        <v>187821</v>
      </c>
      <c r="O11" s="469">
        <v>105931</v>
      </c>
      <c r="P11" s="323" t="s">
        <v>324</v>
      </c>
      <c r="Q11" s="35"/>
      <c r="R11" s="491"/>
      <c r="S11" s="491"/>
      <c r="T11" s="491">
        <f>SUM(T3:T10)</f>
        <v>19707.009999999998</v>
      </c>
      <c r="U11" s="491">
        <f>SUM(U3:U10)</f>
        <v>60300</v>
      </c>
      <c r="V11" s="493">
        <f>SUM(V3:V10)</f>
        <v>53012.37</v>
      </c>
      <c r="W11" s="491">
        <f>SUM(W3:W10)</f>
        <v>56200</v>
      </c>
      <c r="X11" s="490">
        <v>56200</v>
      </c>
      <c r="Y11" s="519">
        <f>SUM(Y3:Y10)</f>
        <v>25000</v>
      </c>
      <c r="Z11" s="490">
        <f>SUM(Z3:Z10)</f>
        <v>81200</v>
      </c>
      <c r="AA11" s="492">
        <f>SUM(AA3:AA10)</f>
        <v>48257.17</v>
      </c>
    </row>
    <row r="12" spans="1:29" s="2" customFormat="1" ht="14.25" customHeight="1" x14ac:dyDescent="0.25">
      <c r="A12" s="462" t="s">
        <v>42</v>
      </c>
      <c r="B12" s="504" t="s">
        <v>43</v>
      </c>
      <c r="C12" s="504"/>
      <c r="D12" s="464">
        <v>8000</v>
      </c>
      <c r="E12" s="464">
        <v>9014.2999999999993</v>
      </c>
      <c r="F12" s="465">
        <v>9891.9699999999993</v>
      </c>
      <c r="G12" s="465">
        <v>1153</v>
      </c>
      <c r="H12" s="465">
        <v>0</v>
      </c>
      <c r="I12" s="465">
        <v>1200</v>
      </c>
      <c r="J12" s="466">
        <v>9268.17</v>
      </c>
      <c r="K12" s="467">
        <v>9500</v>
      </c>
      <c r="L12" s="468">
        <v>9500</v>
      </c>
      <c r="M12" s="467"/>
      <c r="N12" s="468">
        <v>9500</v>
      </c>
      <c r="O12" s="469">
        <v>9424.52</v>
      </c>
      <c r="P12" s="4" t="s">
        <v>276</v>
      </c>
      <c r="Q12" s="4" t="s">
        <v>277</v>
      </c>
      <c r="R12" s="100"/>
      <c r="S12" s="100"/>
      <c r="T12" s="100"/>
      <c r="U12" s="100"/>
      <c r="V12" s="333"/>
      <c r="W12" s="488"/>
      <c r="X12" s="487"/>
      <c r="Y12" s="488"/>
      <c r="Z12" s="487"/>
      <c r="AA12" s="489"/>
    </row>
    <row r="13" spans="1:29" s="2" customFormat="1" ht="14.25" customHeight="1" x14ac:dyDescent="0.25">
      <c r="A13" s="462" t="s">
        <v>342</v>
      </c>
      <c r="B13" s="463" t="s">
        <v>343</v>
      </c>
      <c r="C13" s="463"/>
      <c r="D13" s="464"/>
      <c r="E13" s="464"/>
      <c r="F13" s="465"/>
      <c r="G13" s="465"/>
      <c r="H13" s="465"/>
      <c r="I13" s="465"/>
      <c r="J13" s="466"/>
      <c r="K13" s="467"/>
      <c r="L13" s="468"/>
      <c r="M13" s="467"/>
      <c r="N13" s="468"/>
      <c r="O13" s="469">
        <v>-3.65</v>
      </c>
      <c r="P13" s="12" t="s">
        <v>36</v>
      </c>
      <c r="Q13" s="12" t="s">
        <v>37</v>
      </c>
      <c r="R13" s="100">
        <v>17629.7</v>
      </c>
      <c r="S13" s="100">
        <v>17670</v>
      </c>
      <c r="T13" s="100">
        <v>17670</v>
      </c>
      <c r="U13" s="25">
        <v>17670</v>
      </c>
      <c r="V13" s="333">
        <v>17670</v>
      </c>
      <c r="W13" s="476">
        <v>19000</v>
      </c>
      <c r="X13" s="477">
        <v>19000</v>
      </c>
      <c r="Y13" s="476"/>
      <c r="Z13" s="477">
        <f>X13+Y13</f>
        <v>19000</v>
      </c>
      <c r="AA13" s="478">
        <v>9389.15</v>
      </c>
    </row>
    <row r="14" spans="1:29" s="2" customFormat="1" ht="14.25" customHeight="1" x14ac:dyDescent="0.25">
      <c r="A14" s="462" t="s">
        <v>45</v>
      </c>
      <c r="B14" s="504" t="s">
        <v>46</v>
      </c>
      <c r="C14" s="504"/>
      <c r="D14" s="464"/>
      <c r="E14" s="464">
        <v>450</v>
      </c>
      <c r="F14" s="465">
        <v>1225</v>
      </c>
      <c r="G14" s="465">
        <v>1000</v>
      </c>
      <c r="H14" s="465">
        <v>1075</v>
      </c>
      <c r="I14" s="465">
        <v>1000</v>
      </c>
      <c r="J14" s="466">
        <v>5425</v>
      </c>
      <c r="K14" s="467">
        <v>4500</v>
      </c>
      <c r="L14" s="468">
        <v>4500</v>
      </c>
      <c r="M14" s="467"/>
      <c r="N14" s="468">
        <v>4500</v>
      </c>
      <c r="O14" s="469">
        <v>3350</v>
      </c>
      <c r="P14" s="2" t="s">
        <v>40</v>
      </c>
      <c r="Q14" s="2" t="s">
        <v>41</v>
      </c>
      <c r="R14" s="100">
        <v>0</v>
      </c>
      <c r="S14" s="100">
        <v>0</v>
      </c>
      <c r="T14" s="100">
        <v>0</v>
      </c>
      <c r="U14" s="25">
        <v>500</v>
      </c>
      <c r="V14" s="333">
        <v>0</v>
      </c>
      <c r="W14" s="476">
        <v>500</v>
      </c>
      <c r="X14" s="477">
        <v>500</v>
      </c>
      <c r="Y14" s="476"/>
      <c r="Z14" s="477">
        <f t="shared" ref="Z14:Z16" si="1">X14+Y14</f>
        <v>500</v>
      </c>
      <c r="AA14" s="478">
        <v>90</v>
      </c>
    </row>
    <row r="15" spans="1:29" s="2" customFormat="1" ht="14.25" customHeight="1" x14ac:dyDescent="0.25">
      <c r="A15" s="471"/>
      <c r="B15" s="463" t="s">
        <v>296</v>
      </c>
      <c r="C15" s="463"/>
      <c r="D15" s="464"/>
      <c r="E15" s="464"/>
      <c r="F15" s="465"/>
      <c r="G15" s="465"/>
      <c r="H15" s="465">
        <v>0</v>
      </c>
      <c r="I15" s="465">
        <v>0</v>
      </c>
      <c r="J15" s="466">
        <v>0</v>
      </c>
      <c r="K15" s="467">
        <v>500</v>
      </c>
      <c r="L15" s="468">
        <v>500</v>
      </c>
      <c r="M15" s="467"/>
      <c r="N15" s="468">
        <v>500</v>
      </c>
      <c r="O15" s="469"/>
      <c r="P15" s="2" t="s">
        <v>44</v>
      </c>
      <c r="Q15" s="2" t="s">
        <v>15</v>
      </c>
      <c r="R15" s="100">
        <v>98.44</v>
      </c>
      <c r="S15" s="100">
        <v>150</v>
      </c>
      <c r="T15" s="100">
        <v>14</v>
      </c>
      <c r="U15" s="25">
        <v>1500</v>
      </c>
      <c r="V15" s="333">
        <v>1492.38</v>
      </c>
      <c r="W15" s="476">
        <v>500</v>
      </c>
      <c r="X15" s="477">
        <v>500</v>
      </c>
      <c r="Y15" s="476"/>
      <c r="Z15" s="477">
        <f t="shared" si="1"/>
        <v>500</v>
      </c>
      <c r="AA15" s="478">
        <v>30.38</v>
      </c>
    </row>
    <row r="16" spans="1:29" s="2" customFormat="1" ht="14.25" customHeight="1" x14ac:dyDescent="0.25">
      <c r="A16" s="462" t="s">
        <v>49</v>
      </c>
      <c r="B16" s="504" t="s">
        <v>50</v>
      </c>
      <c r="C16" s="504"/>
      <c r="D16" s="464"/>
      <c r="E16" s="464"/>
      <c r="F16" s="465">
        <v>0</v>
      </c>
      <c r="G16" s="465">
        <v>0</v>
      </c>
      <c r="H16" s="465">
        <v>990</v>
      </c>
      <c r="I16" s="465">
        <v>600</v>
      </c>
      <c r="J16" s="466">
        <v>0</v>
      </c>
      <c r="K16" s="467">
        <v>0</v>
      </c>
      <c r="L16" s="468">
        <v>0</v>
      </c>
      <c r="M16" s="467"/>
      <c r="N16" s="468">
        <v>0</v>
      </c>
      <c r="O16" s="469"/>
      <c r="P16" s="40" t="s">
        <v>47</v>
      </c>
      <c r="Q16" s="40" t="s">
        <v>48</v>
      </c>
      <c r="R16" s="199">
        <v>212.4</v>
      </c>
      <c r="S16" s="199">
        <v>0</v>
      </c>
      <c r="T16" s="199">
        <v>95</v>
      </c>
      <c r="U16" s="56">
        <v>200</v>
      </c>
      <c r="V16" s="334">
        <v>150</v>
      </c>
      <c r="W16" s="476">
        <v>200</v>
      </c>
      <c r="X16" s="477">
        <v>200</v>
      </c>
      <c r="Y16" s="476"/>
      <c r="Z16" s="477">
        <f t="shared" si="1"/>
        <v>200</v>
      </c>
      <c r="AA16" s="478"/>
    </row>
    <row r="17" spans="1:30" s="2" customFormat="1" ht="14.25" customHeight="1" thickBot="1" x14ac:dyDescent="0.3">
      <c r="A17" s="462" t="s">
        <v>53</v>
      </c>
      <c r="B17" s="504" t="s">
        <v>54</v>
      </c>
      <c r="C17" s="504"/>
      <c r="D17" s="464">
        <v>350</v>
      </c>
      <c r="E17" s="464">
        <v>1097.71</v>
      </c>
      <c r="F17" s="465">
        <v>1264.46</v>
      </c>
      <c r="G17" s="465">
        <v>120</v>
      </c>
      <c r="H17" s="465">
        <v>203.93</v>
      </c>
      <c r="I17" s="465">
        <v>200</v>
      </c>
      <c r="J17" s="466">
        <v>274.08999999999997</v>
      </c>
      <c r="K17" s="467">
        <v>100</v>
      </c>
      <c r="L17" s="468">
        <v>100</v>
      </c>
      <c r="M17" s="467"/>
      <c r="N17" s="468">
        <v>100</v>
      </c>
      <c r="O17" s="469">
        <v>69.38</v>
      </c>
      <c r="P17" s="323" t="s">
        <v>324</v>
      </c>
      <c r="Q17" s="35"/>
      <c r="R17" s="491"/>
      <c r="S17" s="491"/>
      <c r="T17" s="491">
        <f>SUM(T13:T16)</f>
        <v>17779</v>
      </c>
      <c r="U17" s="491">
        <f>SUM(U13:U16)</f>
        <v>19870</v>
      </c>
      <c r="V17" s="493">
        <f>SUM(V13:V16)</f>
        <v>19312.38</v>
      </c>
      <c r="W17" s="491">
        <f>SUM(W13:W16)</f>
        <v>20200</v>
      </c>
      <c r="X17" s="490">
        <v>20200</v>
      </c>
      <c r="Y17" s="491">
        <f>SUM(Y13:Y16)</f>
        <v>0</v>
      </c>
      <c r="Z17" s="490">
        <f>SUM(Z13:Z16)</f>
        <v>20200</v>
      </c>
      <c r="AA17" s="492">
        <f>SUM(AA13:AA16)</f>
        <v>9509.5299999999988</v>
      </c>
    </row>
    <row r="18" spans="1:30" s="2" customFormat="1" ht="14.25" customHeight="1" x14ac:dyDescent="0.25">
      <c r="A18" s="462" t="s">
        <v>57</v>
      </c>
      <c r="B18" s="504" t="s">
        <v>58</v>
      </c>
      <c r="C18" s="504"/>
      <c r="D18" s="464">
        <v>50</v>
      </c>
      <c r="E18" s="464">
        <v>900</v>
      </c>
      <c r="F18" s="465">
        <v>1692.55</v>
      </c>
      <c r="G18" s="465">
        <v>1000</v>
      </c>
      <c r="H18" s="465">
        <v>-25</v>
      </c>
      <c r="I18" s="465">
        <v>700</v>
      </c>
      <c r="J18" s="466">
        <v>905</v>
      </c>
      <c r="K18" s="470">
        <v>1500</v>
      </c>
      <c r="L18" s="468">
        <v>1500</v>
      </c>
      <c r="M18" s="467"/>
      <c r="N18" s="468">
        <v>1500</v>
      </c>
      <c r="O18" s="469">
        <v>350</v>
      </c>
      <c r="P18" s="4" t="s">
        <v>51</v>
      </c>
      <c r="Q18" s="4" t="s">
        <v>52</v>
      </c>
      <c r="R18" s="100">
        <v>0</v>
      </c>
      <c r="S18" s="100">
        <v>0</v>
      </c>
      <c r="T18" s="100">
        <v>0</v>
      </c>
      <c r="U18" s="25">
        <v>0</v>
      </c>
      <c r="V18" s="333">
        <v>0</v>
      </c>
      <c r="W18" s="476">
        <v>0</v>
      </c>
      <c r="X18" s="477">
        <v>0</v>
      </c>
      <c r="Y18" s="476"/>
      <c r="Z18" s="477"/>
      <c r="AA18" s="478"/>
    </row>
    <row r="19" spans="1:30" s="2" customFormat="1" ht="14.25" customHeight="1" x14ac:dyDescent="0.25">
      <c r="A19" s="462" t="s">
        <v>61</v>
      </c>
      <c r="B19" s="504" t="s">
        <v>62</v>
      </c>
      <c r="C19" s="504"/>
      <c r="D19" s="464"/>
      <c r="E19" s="464">
        <v>5086.47</v>
      </c>
      <c r="F19" s="465">
        <v>4861.6099999999997</v>
      </c>
      <c r="G19" s="465">
        <v>0</v>
      </c>
      <c r="H19" s="465">
        <v>2322.75</v>
      </c>
      <c r="I19" s="465">
        <v>0</v>
      </c>
      <c r="J19" s="466">
        <v>834.02</v>
      </c>
      <c r="K19" s="467">
        <v>0</v>
      </c>
      <c r="L19" s="468">
        <v>0</v>
      </c>
      <c r="M19" s="467"/>
      <c r="N19" s="468">
        <v>0</v>
      </c>
      <c r="O19" s="469">
        <v>-142.44</v>
      </c>
      <c r="P19" s="2" t="s">
        <v>55</v>
      </c>
      <c r="Q19" s="2" t="s">
        <v>56</v>
      </c>
      <c r="R19" s="100">
        <v>500.94</v>
      </c>
      <c r="S19" s="100">
        <v>4385</v>
      </c>
      <c r="T19" s="100">
        <v>3131.25</v>
      </c>
      <c r="U19" s="25">
        <v>1000</v>
      </c>
      <c r="V19" s="333">
        <v>0</v>
      </c>
      <c r="W19" s="476">
        <v>5000</v>
      </c>
      <c r="X19" s="477">
        <v>5000</v>
      </c>
      <c r="Y19" s="476"/>
      <c r="Z19" s="477">
        <f>X19+Y19</f>
        <v>5000</v>
      </c>
      <c r="AA19" s="478">
        <v>1814.75</v>
      </c>
    </row>
    <row r="20" spans="1:30" s="2" customFormat="1" ht="14.25" customHeight="1" x14ac:dyDescent="0.25">
      <c r="A20" s="462" t="s">
        <v>65</v>
      </c>
      <c r="B20" s="504" t="s">
        <v>66</v>
      </c>
      <c r="C20" s="504"/>
      <c r="D20" s="464"/>
      <c r="E20" s="464"/>
      <c r="F20" s="465">
        <v>0</v>
      </c>
      <c r="G20" s="465">
        <v>5900</v>
      </c>
      <c r="H20" s="465">
        <v>436.7</v>
      </c>
      <c r="I20" s="465">
        <v>0</v>
      </c>
      <c r="J20" s="466">
        <v>1518.72</v>
      </c>
      <c r="K20" s="467">
        <v>0</v>
      </c>
      <c r="L20" s="468">
        <v>0</v>
      </c>
      <c r="M20" s="467"/>
      <c r="N20" s="468">
        <v>0</v>
      </c>
      <c r="O20" s="469">
        <f>723.57+2209.7</f>
        <v>2933.27</v>
      </c>
      <c r="P20" s="2" t="s">
        <v>59</v>
      </c>
      <c r="Q20" s="2" t="s">
        <v>60</v>
      </c>
      <c r="R20" s="100">
        <v>583</v>
      </c>
      <c r="S20" s="100">
        <v>2500</v>
      </c>
      <c r="T20" s="100">
        <v>4479.95</v>
      </c>
      <c r="U20" s="25">
        <v>1500</v>
      </c>
      <c r="V20" s="333">
        <v>102.06</v>
      </c>
      <c r="W20" s="476">
        <v>5000</v>
      </c>
      <c r="X20" s="477">
        <v>5000</v>
      </c>
      <c r="Y20" s="476"/>
      <c r="Z20" s="477">
        <f t="shared" ref="Z20:Z21" si="2">X20+Y20</f>
        <v>5000</v>
      </c>
      <c r="AA20" s="478">
        <v>2490.48</v>
      </c>
    </row>
    <row r="21" spans="1:30" s="2" customFormat="1" ht="14.25" customHeight="1" x14ac:dyDescent="0.25">
      <c r="A21" s="462"/>
      <c r="B21" s="463" t="s">
        <v>315</v>
      </c>
      <c r="C21" s="463"/>
      <c r="D21" s="464"/>
      <c r="E21" s="464"/>
      <c r="F21" s="465"/>
      <c r="G21" s="465"/>
      <c r="H21" s="465">
        <v>0</v>
      </c>
      <c r="I21" s="465">
        <v>0</v>
      </c>
      <c r="J21" s="470">
        <v>0</v>
      </c>
      <c r="K21" s="467">
        <v>108000</v>
      </c>
      <c r="L21" s="468">
        <v>108000</v>
      </c>
      <c r="M21" s="467"/>
      <c r="N21" s="468">
        <v>108000</v>
      </c>
      <c r="O21" s="469">
        <f>108489+108923.22</f>
        <v>217412.22</v>
      </c>
      <c r="P21" s="40" t="s">
        <v>63</v>
      </c>
      <c r="Q21" s="40" t="s">
        <v>64</v>
      </c>
      <c r="R21" s="199">
        <v>498.39</v>
      </c>
      <c r="S21" s="199">
        <v>0</v>
      </c>
      <c r="T21" s="199">
        <v>403</v>
      </c>
      <c r="U21" s="199">
        <v>500</v>
      </c>
      <c r="V21" s="334">
        <v>0</v>
      </c>
      <c r="W21" s="476">
        <v>500</v>
      </c>
      <c r="X21" s="477">
        <v>500</v>
      </c>
      <c r="Y21" s="476"/>
      <c r="Z21" s="477">
        <f t="shared" si="2"/>
        <v>500</v>
      </c>
      <c r="AA21" s="478">
        <v>450</v>
      </c>
    </row>
    <row r="22" spans="1:30" s="2" customFormat="1" ht="14.25" customHeight="1" thickBot="1" x14ac:dyDescent="0.3">
      <c r="A22" s="462"/>
      <c r="B22" s="463" t="s">
        <v>314</v>
      </c>
      <c r="C22" s="463"/>
      <c r="D22" s="464"/>
      <c r="E22" s="464"/>
      <c r="F22" s="465"/>
      <c r="G22" s="465"/>
      <c r="H22" s="465"/>
      <c r="I22" s="465"/>
      <c r="J22" s="466">
        <v>29379.83</v>
      </c>
      <c r="K22" s="467">
        <v>150000</v>
      </c>
      <c r="L22" s="468">
        <v>150000</v>
      </c>
      <c r="M22" s="467"/>
      <c r="N22" s="468">
        <v>150000</v>
      </c>
      <c r="O22" s="469"/>
      <c r="P22" s="323" t="s">
        <v>324</v>
      </c>
      <c r="Q22" s="35"/>
      <c r="R22" s="491"/>
      <c r="S22" s="491"/>
      <c r="T22" s="491">
        <f>SUM(T18:T21)</f>
        <v>8014.2</v>
      </c>
      <c r="U22" s="491">
        <f>SUM(U18:U21)</f>
        <v>3000</v>
      </c>
      <c r="V22" s="493">
        <f>SUM(V18:V21)</f>
        <v>102.06</v>
      </c>
      <c r="W22" s="491">
        <f>SUM(W18:W21)</f>
        <v>10500</v>
      </c>
      <c r="X22" s="490">
        <v>10500</v>
      </c>
      <c r="Y22" s="491">
        <f>SUM(Y18:Y21)</f>
        <v>0</v>
      </c>
      <c r="Z22" s="490">
        <f>SUM(Z18:Z21)</f>
        <v>10500</v>
      </c>
      <c r="AA22" s="492">
        <f>SUM(AA18:AA21)</f>
        <v>4755.2299999999996</v>
      </c>
    </row>
    <row r="23" spans="1:30" s="2" customFormat="1" ht="14.25" customHeight="1" x14ac:dyDescent="0.25">
      <c r="A23" s="462"/>
      <c r="B23" s="504" t="s">
        <v>69</v>
      </c>
      <c r="C23" s="504"/>
      <c r="D23" s="464">
        <v>141163</v>
      </c>
      <c r="E23" s="464">
        <v>141538.69</v>
      </c>
      <c r="F23" s="465">
        <v>0</v>
      </c>
      <c r="G23" s="465">
        <v>75100</v>
      </c>
      <c r="H23" s="465">
        <v>75118.429999999993</v>
      </c>
      <c r="I23" s="465">
        <v>0</v>
      </c>
      <c r="J23" s="466">
        <v>0</v>
      </c>
      <c r="K23" s="467">
        <v>0</v>
      </c>
      <c r="L23" s="468">
        <v>0</v>
      </c>
      <c r="M23" s="467"/>
      <c r="N23" s="468">
        <v>0</v>
      </c>
      <c r="O23" s="469"/>
      <c r="P23" s="4" t="s">
        <v>271</v>
      </c>
      <c r="Q23" s="4" t="s">
        <v>272</v>
      </c>
      <c r="R23" s="100"/>
      <c r="S23" s="100"/>
      <c r="T23" s="100"/>
      <c r="U23" s="100"/>
      <c r="V23" s="333"/>
      <c r="W23" s="476"/>
      <c r="X23" s="477"/>
      <c r="Y23" s="476"/>
      <c r="Z23" s="477"/>
      <c r="AA23" s="478"/>
      <c r="AC23" s="1"/>
    </row>
    <row r="24" spans="1:30" s="2" customFormat="1" ht="14.25" customHeight="1" x14ac:dyDescent="0.25">
      <c r="A24" s="462"/>
      <c r="B24" s="504" t="s">
        <v>72</v>
      </c>
      <c r="C24" s="504"/>
      <c r="D24" s="464"/>
      <c r="E24" s="464"/>
      <c r="F24" s="465">
        <v>0</v>
      </c>
      <c r="G24" s="465">
        <v>0</v>
      </c>
      <c r="H24" s="465">
        <v>5800</v>
      </c>
      <c r="I24" s="465">
        <v>5800</v>
      </c>
      <c r="J24" s="472"/>
      <c r="K24" s="467"/>
      <c r="L24" s="468"/>
      <c r="M24" s="467"/>
      <c r="N24" s="468"/>
      <c r="O24" s="469"/>
      <c r="P24" s="12" t="s">
        <v>67</v>
      </c>
      <c r="Q24" s="12" t="s">
        <v>68</v>
      </c>
      <c r="R24" s="100">
        <v>26785.3</v>
      </c>
      <c r="S24" s="100">
        <v>28000</v>
      </c>
      <c r="T24" s="100">
        <v>23283.7</v>
      </c>
      <c r="U24" s="100">
        <v>30000</v>
      </c>
      <c r="V24" s="333">
        <v>25753.3</v>
      </c>
      <c r="W24" s="476">
        <v>26100</v>
      </c>
      <c r="X24" s="477">
        <v>26100</v>
      </c>
      <c r="Y24" s="476">
        <v>600</v>
      </c>
      <c r="Z24" s="477">
        <f>X24+Y24</f>
        <v>26700</v>
      </c>
      <c r="AA24" s="478">
        <v>13365.52</v>
      </c>
    </row>
    <row r="25" spans="1:30" s="2" customFormat="1" ht="14.25" customHeight="1" thickBot="1" x14ac:dyDescent="0.3">
      <c r="A25" s="455" t="s">
        <v>75</v>
      </c>
      <c r="B25" s="455"/>
      <c r="C25" s="455"/>
      <c r="D25" s="456">
        <f>SUM(D3:D24)</f>
        <v>374950</v>
      </c>
      <c r="E25" s="456">
        <f>SUM(E3:E24)</f>
        <v>338967.73</v>
      </c>
      <c r="F25" s="456">
        <v>299204</v>
      </c>
      <c r="G25" s="456">
        <f>SUM(G3:G24)</f>
        <v>278724</v>
      </c>
      <c r="H25" s="457">
        <f>SUM(H3:H24)</f>
        <v>446101.86</v>
      </c>
      <c r="I25" s="457">
        <f>SUM(I3:I24)</f>
        <v>210723.08500000002</v>
      </c>
      <c r="J25" s="458">
        <f>SUM(J3:J24)</f>
        <v>367730.77</v>
      </c>
      <c r="K25" s="459">
        <f>SUM(K3:K24)</f>
        <v>572246.04</v>
      </c>
      <c r="L25" s="460">
        <f>SUM(L3:L24)</f>
        <v>572246.04</v>
      </c>
      <c r="M25" s="459">
        <f>SUM(M3:M24)</f>
        <v>0</v>
      </c>
      <c r="N25" s="460">
        <f>SUM(N3:N24)</f>
        <v>572246.04</v>
      </c>
      <c r="O25" s="461">
        <f>SUM(O3:O24)</f>
        <v>358222.67</v>
      </c>
      <c r="P25" s="2" t="s">
        <v>70</v>
      </c>
      <c r="Q25" s="2" t="s">
        <v>71</v>
      </c>
      <c r="R25" s="100">
        <v>796.12</v>
      </c>
      <c r="S25" s="100">
        <v>1000</v>
      </c>
      <c r="T25" s="100">
        <v>613</v>
      </c>
      <c r="U25" s="25">
        <v>1000</v>
      </c>
      <c r="V25" s="333">
        <v>1788.89</v>
      </c>
      <c r="W25" s="476">
        <v>1800</v>
      </c>
      <c r="X25" s="477">
        <v>1800</v>
      </c>
      <c r="Y25" s="476">
        <v>0</v>
      </c>
      <c r="Z25" s="477">
        <f t="shared" ref="Z25:Z26" si="3">X25+Y25</f>
        <v>1800</v>
      </c>
      <c r="AA25" s="478">
        <v>643</v>
      </c>
    </row>
    <row r="26" spans="1:30" s="2" customFormat="1" ht="14.25" customHeight="1" x14ac:dyDescent="0.25">
      <c r="B26" s="151"/>
      <c r="C26" s="151"/>
      <c r="D26" s="6"/>
      <c r="E26" s="6"/>
      <c r="F26" s="7"/>
      <c r="G26" s="7"/>
      <c r="H26" s="7"/>
      <c r="I26" s="102"/>
      <c r="J26" s="211"/>
      <c r="K26" s="218"/>
      <c r="L26" s="363"/>
      <c r="M26" s="218"/>
      <c r="N26" s="363"/>
      <c r="O26" s="410"/>
      <c r="P26" s="198" t="s">
        <v>73</v>
      </c>
      <c r="Q26" s="40" t="s">
        <v>74</v>
      </c>
      <c r="R26" s="199">
        <v>235</v>
      </c>
      <c r="S26" s="199">
        <v>0</v>
      </c>
      <c r="T26" s="199">
        <v>0</v>
      </c>
      <c r="U26" s="199">
        <v>0</v>
      </c>
      <c r="V26" s="334">
        <v>0</v>
      </c>
      <c r="W26" s="476" t="s">
        <v>298</v>
      </c>
      <c r="X26" s="477">
        <v>0</v>
      </c>
      <c r="Y26" s="476">
        <v>0</v>
      </c>
      <c r="Z26" s="477">
        <f t="shared" si="3"/>
        <v>0</v>
      </c>
      <c r="AA26" s="478">
        <v>34.42</v>
      </c>
      <c r="AB26" s="1"/>
    </row>
    <row r="27" spans="1:30" s="2" customFormat="1" ht="14.25" customHeight="1" thickBot="1" x14ac:dyDescent="0.3">
      <c r="A27" s="34" t="s">
        <v>268</v>
      </c>
      <c r="B27" s="34"/>
      <c r="C27" s="34"/>
      <c r="D27" s="33">
        <f>D2+D25</f>
        <v>374950</v>
      </c>
      <c r="E27" s="33">
        <f>E2+E25</f>
        <v>338967.73</v>
      </c>
      <c r="F27" s="33">
        <f>F2+F25</f>
        <v>612079</v>
      </c>
      <c r="G27" s="33">
        <f>G2+G25</f>
        <v>640468</v>
      </c>
      <c r="H27" s="103">
        <f>H2+H25</f>
        <v>807845.86</v>
      </c>
      <c r="I27" s="103">
        <f>I2+I25</f>
        <v>749395.95500000007</v>
      </c>
      <c r="J27" s="212">
        <f>J2+J25</f>
        <v>816467.77</v>
      </c>
      <c r="K27" s="219">
        <f>K2+K25</f>
        <v>1020983.04</v>
      </c>
      <c r="L27" s="364">
        <f>L2+L25</f>
        <v>1020983.04</v>
      </c>
      <c r="M27" s="219">
        <f>M2+M25</f>
        <v>0</v>
      </c>
      <c r="N27" s="364">
        <f>N2+N25</f>
        <v>1020983.04</v>
      </c>
      <c r="O27" s="411">
        <f>O2+O25</f>
        <v>358222.67</v>
      </c>
      <c r="P27" s="322" t="s">
        <v>324</v>
      </c>
      <c r="Q27" s="35"/>
      <c r="R27" s="491"/>
      <c r="S27" s="491"/>
      <c r="T27" s="491">
        <f>SUM(T23:T26)</f>
        <v>23896.7</v>
      </c>
      <c r="U27" s="491">
        <f>SUM(U23:U26)</f>
        <v>31000</v>
      </c>
      <c r="V27" s="493">
        <f>SUM(V23:V26)</f>
        <v>27542.19</v>
      </c>
      <c r="W27" s="491">
        <f>SUM(W23:W26)</f>
        <v>27900</v>
      </c>
      <c r="X27" s="490">
        <v>27900</v>
      </c>
      <c r="Y27" s="491">
        <f>SUM(Y24:Y26)</f>
        <v>600</v>
      </c>
      <c r="Z27" s="490">
        <f>SUM(Z24:Z26)</f>
        <v>28500</v>
      </c>
      <c r="AA27" s="492">
        <f>SUM(AA24:AA26)</f>
        <v>14042.94</v>
      </c>
      <c r="AB27" s="1"/>
    </row>
    <row r="28" spans="1:30" s="2" customFormat="1" ht="14.25" customHeight="1" x14ac:dyDescent="0.25">
      <c r="B28" s="151"/>
      <c r="C28" s="151"/>
      <c r="D28" s="8"/>
      <c r="E28" s="8"/>
      <c r="F28" s="8"/>
      <c r="G28" s="8"/>
      <c r="H28" s="8"/>
      <c r="I28" s="3"/>
      <c r="J28" s="213"/>
      <c r="K28" s="218"/>
      <c r="L28" s="363"/>
      <c r="M28" s="479"/>
      <c r="N28" s="363"/>
      <c r="O28" s="410"/>
      <c r="P28" s="4" t="s">
        <v>278</v>
      </c>
      <c r="Q28" s="4" t="s">
        <v>279</v>
      </c>
      <c r="R28" s="100"/>
      <c r="S28" s="100"/>
      <c r="T28" s="100"/>
      <c r="U28" s="25"/>
      <c r="V28" s="333"/>
      <c r="W28" s="224"/>
      <c r="X28" s="369"/>
      <c r="Y28" s="224"/>
      <c r="Z28" s="369"/>
      <c r="AA28" s="415"/>
      <c r="AB28" s="1"/>
    </row>
    <row r="29" spans="1:30" s="2" customFormat="1" ht="14.25" customHeight="1" x14ac:dyDescent="0.25">
      <c r="A29" s="151"/>
      <c r="B29" s="151"/>
      <c r="C29" s="151"/>
      <c r="D29" s="8"/>
      <c r="E29" s="8"/>
      <c r="F29" s="8"/>
      <c r="G29" s="8"/>
      <c r="H29" s="8"/>
      <c r="I29" s="3"/>
      <c r="J29" s="213"/>
      <c r="K29" s="218"/>
      <c r="L29" s="363"/>
      <c r="M29" s="479"/>
      <c r="N29" s="363"/>
      <c r="O29" s="410"/>
      <c r="P29" s="11" t="s">
        <v>76</v>
      </c>
      <c r="Q29" s="12" t="s">
        <v>77</v>
      </c>
      <c r="R29" s="100">
        <v>20126.47</v>
      </c>
      <c r="S29" s="100">
        <v>20301</v>
      </c>
      <c r="T29" s="100">
        <v>20301</v>
      </c>
      <c r="U29" s="25">
        <v>20301</v>
      </c>
      <c r="V29" s="333">
        <v>20301.05</v>
      </c>
      <c r="W29" s="476">
        <v>22000</v>
      </c>
      <c r="X29" s="477">
        <v>22000</v>
      </c>
      <c r="Y29" s="476"/>
      <c r="Z29" s="477">
        <f>X29+Y29</f>
        <v>22000</v>
      </c>
      <c r="AA29" s="478">
        <v>10858.4</v>
      </c>
    </row>
    <row r="30" spans="1:30" s="2" customFormat="1" ht="14.25" customHeight="1" x14ac:dyDescent="0.25">
      <c r="A30" s="151"/>
      <c r="B30" s="151"/>
      <c r="C30" s="151"/>
      <c r="D30" s="8"/>
      <c r="E30" s="8"/>
      <c r="F30" s="8"/>
      <c r="G30" s="8"/>
      <c r="H30" s="8"/>
      <c r="I30" s="128"/>
      <c r="J30" s="214"/>
      <c r="K30" s="220"/>
      <c r="L30" s="365"/>
      <c r="M30" s="480"/>
      <c r="N30" s="365"/>
      <c r="O30" s="412"/>
      <c r="P30" s="9" t="s">
        <v>78</v>
      </c>
      <c r="Q30" s="2" t="s">
        <v>41</v>
      </c>
      <c r="R30" s="100">
        <v>493.76</v>
      </c>
      <c r="S30" s="100">
        <v>1500</v>
      </c>
      <c r="T30" s="100">
        <v>1481.25</v>
      </c>
      <c r="U30" s="25">
        <v>1500</v>
      </c>
      <c r="V30" s="333">
        <v>556.25</v>
      </c>
      <c r="W30" s="476">
        <v>2000</v>
      </c>
      <c r="X30" s="477">
        <v>2000</v>
      </c>
      <c r="Y30" s="476"/>
      <c r="Z30" s="477">
        <f t="shared" ref="Z30:Z33" si="4">X30+Y30</f>
        <v>2000</v>
      </c>
      <c r="AA30" s="478">
        <v>1503.75</v>
      </c>
    </row>
    <row r="31" spans="1:30" s="1" customFormat="1" ht="14.25" customHeight="1" x14ac:dyDescent="0.25">
      <c r="A31" s="151"/>
      <c r="B31" s="151"/>
      <c r="C31" s="151"/>
      <c r="D31" s="8"/>
      <c r="E31" s="8"/>
      <c r="F31" s="8"/>
      <c r="G31" s="8"/>
      <c r="H31" s="8"/>
      <c r="I31" s="8"/>
      <c r="J31" s="213"/>
      <c r="K31" s="221"/>
      <c r="L31" s="366"/>
      <c r="M31" s="481"/>
      <c r="N31" s="366"/>
      <c r="O31" s="413"/>
      <c r="P31" s="9" t="s">
        <v>79</v>
      </c>
      <c r="Q31" s="2" t="s">
        <v>80</v>
      </c>
      <c r="R31" s="100">
        <v>0</v>
      </c>
      <c r="S31" s="100">
        <v>0</v>
      </c>
      <c r="T31" s="100">
        <v>0</v>
      </c>
      <c r="U31" s="25">
        <v>0</v>
      </c>
      <c r="V31" s="333">
        <v>0</v>
      </c>
      <c r="W31" s="476">
        <f>120*7</f>
        <v>840</v>
      </c>
      <c r="X31" s="477">
        <v>840</v>
      </c>
      <c r="Y31" s="476"/>
      <c r="Z31" s="477">
        <f t="shared" si="4"/>
        <v>840</v>
      </c>
      <c r="AA31" s="478">
        <v>0</v>
      </c>
      <c r="AB31" s="2"/>
      <c r="AC31" s="2"/>
      <c r="AD31" s="2"/>
    </row>
    <row r="32" spans="1:30" s="1" customFormat="1" ht="14.25" customHeight="1" x14ac:dyDescent="0.25">
      <c r="A32" s="151"/>
      <c r="B32" s="151"/>
      <c r="C32" s="151"/>
      <c r="D32" s="8"/>
      <c r="E32" s="8"/>
      <c r="F32" s="8"/>
      <c r="G32" s="8"/>
      <c r="H32" s="8"/>
      <c r="I32" s="8"/>
      <c r="J32" s="213"/>
      <c r="K32" s="221"/>
      <c r="L32" s="366"/>
      <c r="M32" s="481"/>
      <c r="N32" s="366"/>
      <c r="O32" s="413"/>
      <c r="P32" s="9" t="s">
        <v>81</v>
      </c>
      <c r="Q32" s="2" t="s">
        <v>264</v>
      </c>
      <c r="R32" s="100">
        <v>2877.33</v>
      </c>
      <c r="S32" s="100">
        <v>1500</v>
      </c>
      <c r="T32" s="100">
        <v>436.48</v>
      </c>
      <c r="U32" s="25">
        <v>750</v>
      </c>
      <c r="V32" s="333">
        <v>64.36</v>
      </c>
      <c r="W32" s="476">
        <v>500</v>
      </c>
      <c r="X32" s="477">
        <v>500</v>
      </c>
      <c r="Y32" s="476"/>
      <c r="Z32" s="477">
        <f t="shared" si="4"/>
        <v>500</v>
      </c>
      <c r="AA32" s="478">
        <v>237.99</v>
      </c>
      <c r="AB32" s="2"/>
      <c r="AC32" s="2"/>
      <c r="AD32" s="2"/>
    </row>
    <row r="33" spans="1:29" s="1" customFormat="1" ht="14.25" customHeight="1" thickBot="1" x14ac:dyDescent="0.3">
      <c r="A33" s="34" t="s">
        <v>85</v>
      </c>
      <c r="B33" s="34"/>
      <c r="C33" s="34"/>
      <c r="D33" s="33"/>
      <c r="E33" s="33"/>
      <c r="F33" s="33">
        <f>200335+50000</f>
        <v>250335</v>
      </c>
      <c r="G33" s="33">
        <f>S96</f>
        <v>348516</v>
      </c>
      <c r="H33" s="33">
        <f>T96</f>
        <v>269172.99</v>
      </c>
      <c r="I33" s="103">
        <v>406803</v>
      </c>
      <c r="J33" s="212">
        <f t="shared" ref="J33:O33" si="5">V96</f>
        <v>339958.24000000005</v>
      </c>
      <c r="K33" s="219">
        <f t="shared" si="5"/>
        <v>566957.25</v>
      </c>
      <c r="L33" s="364">
        <f t="shared" si="5"/>
        <v>566957.25</v>
      </c>
      <c r="M33" s="482">
        <f t="shared" si="5"/>
        <v>67100</v>
      </c>
      <c r="N33" s="364">
        <f t="shared" si="5"/>
        <v>634057.25</v>
      </c>
      <c r="O33" s="411">
        <f t="shared" si="5"/>
        <v>282116.20999999996</v>
      </c>
      <c r="P33" s="207" t="s">
        <v>82</v>
      </c>
      <c r="Q33" s="40" t="s">
        <v>83</v>
      </c>
      <c r="R33" s="199">
        <v>17.36</v>
      </c>
      <c r="S33" s="199">
        <v>0</v>
      </c>
      <c r="T33" s="199">
        <v>1006.95</v>
      </c>
      <c r="U33" s="199">
        <v>1000</v>
      </c>
      <c r="V33" s="334">
        <v>309.06</v>
      </c>
      <c r="W33" s="476">
        <v>500</v>
      </c>
      <c r="X33" s="477">
        <v>500</v>
      </c>
      <c r="Y33" s="476"/>
      <c r="Z33" s="477">
        <f t="shared" si="4"/>
        <v>500</v>
      </c>
      <c r="AA33" s="478">
        <v>0</v>
      </c>
      <c r="AB33" s="2"/>
      <c r="AC33" s="2"/>
    </row>
    <row r="34" spans="1:29" s="1" customFormat="1" ht="14.25" customHeight="1" thickBot="1" x14ac:dyDescent="0.3">
      <c r="A34" s="2"/>
      <c r="B34" s="510"/>
      <c r="C34" s="510"/>
      <c r="D34" s="8"/>
      <c r="E34" s="8"/>
      <c r="F34" s="8"/>
      <c r="G34" s="8"/>
      <c r="H34" s="8"/>
      <c r="I34" s="8"/>
      <c r="J34" s="215"/>
      <c r="K34" s="221"/>
      <c r="L34" s="366"/>
      <c r="M34" s="481"/>
      <c r="N34" s="366"/>
      <c r="O34" s="413"/>
      <c r="P34" s="322" t="s">
        <v>324</v>
      </c>
      <c r="Q34" s="35"/>
      <c r="R34" s="491"/>
      <c r="S34" s="491"/>
      <c r="T34" s="491">
        <f>SUM(T29:T33)</f>
        <v>23225.68</v>
      </c>
      <c r="U34" s="491">
        <f>SUM(U29:U33)</f>
        <v>23551</v>
      </c>
      <c r="V34" s="493">
        <f>SUM(V29:V33)</f>
        <v>21230.720000000001</v>
      </c>
      <c r="W34" s="491">
        <f>SUM(W29:W33)</f>
        <v>25840</v>
      </c>
      <c r="X34" s="490">
        <v>25840</v>
      </c>
      <c r="Y34" s="491">
        <f>SUM(Y29:Y33)</f>
        <v>0</v>
      </c>
      <c r="Z34" s="490">
        <f>SUM(Z29:Z33)</f>
        <v>25840</v>
      </c>
      <c r="AA34" s="492">
        <f>SUM(AA29:AA33)</f>
        <v>12600.14</v>
      </c>
      <c r="AB34" s="2"/>
      <c r="AC34" s="2"/>
    </row>
    <row r="35" spans="1:29" s="1" customFormat="1" ht="14.25" customHeight="1" thickBot="1" x14ac:dyDescent="0.3">
      <c r="A35" s="27" t="s">
        <v>336</v>
      </c>
      <c r="B35" s="27"/>
      <c r="C35" s="27"/>
      <c r="D35" s="29"/>
      <c r="E35" s="29"/>
      <c r="F35" s="29">
        <f>F27-F33</f>
        <v>361744</v>
      </c>
      <c r="G35" s="29">
        <f>G27-G33</f>
        <v>291952</v>
      </c>
      <c r="H35" s="29">
        <f>H27-H33</f>
        <v>538672.87</v>
      </c>
      <c r="I35" s="29">
        <v>157329.02499999991</v>
      </c>
      <c r="J35" s="216">
        <f t="shared" ref="J35:O35" si="6">J27-J33</f>
        <v>476509.52999999997</v>
      </c>
      <c r="K35" s="222">
        <f t="shared" si="6"/>
        <v>454025.79000000004</v>
      </c>
      <c r="L35" s="367">
        <f t="shared" si="6"/>
        <v>454025.79000000004</v>
      </c>
      <c r="M35" s="483">
        <f t="shared" si="6"/>
        <v>-67100</v>
      </c>
      <c r="N35" s="367">
        <f t="shared" si="6"/>
        <v>386925.79000000004</v>
      </c>
      <c r="O35" s="414">
        <f t="shared" si="6"/>
        <v>76106.460000000021</v>
      </c>
      <c r="P35" s="10" t="s">
        <v>280</v>
      </c>
      <c r="Q35" s="4" t="s">
        <v>281</v>
      </c>
      <c r="R35" s="100"/>
      <c r="S35" s="100"/>
      <c r="T35" s="100"/>
      <c r="U35" s="25"/>
      <c r="V35" s="333"/>
      <c r="W35" s="224"/>
      <c r="X35" s="369"/>
      <c r="Y35" s="224"/>
      <c r="Z35" s="369"/>
      <c r="AA35" s="415"/>
      <c r="AB35" s="2"/>
      <c r="AC35" s="2"/>
    </row>
    <row r="36" spans="1:29" s="1" customFormat="1" ht="14.25" customHeight="1" thickTop="1" x14ac:dyDescent="0.25">
      <c r="B36" s="506"/>
      <c r="C36" s="506"/>
      <c r="D36" s="13"/>
      <c r="E36" s="13"/>
      <c r="F36" s="13"/>
      <c r="G36" s="13"/>
      <c r="H36" s="13"/>
      <c r="I36" s="128"/>
      <c r="J36" s="193"/>
      <c r="K36" s="128"/>
      <c r="L36" s="128"/>
      <c r="M36" s="128"/>
      <c r="N36" s="128"/>
      <c r="O36" s="128"/>
      <c r="P36" s="11" t="s">
        <v>84</v>
      </c>
      <c r="Q36" s="12" t="s">
        <v>282</v>
      </c>
      <c r="R36" s="100">
        <v>1650</v>
      </c>
      <c r="S36" s="100">
        <v>2500</v>
      </c>
      <c r="T36" s="100">
        <v>300</v>
      </c>
      <c r="U36" s="25">
        <v>2500</v>
      </c>
      <c r="V36" s="333">
        <v>1420</v>
      </c>
      <c r="W36" s="476">
        <v>2000</v>
      </c>
      <c r="X36" s="477">
        <v>2000</v>
      </c>
      <c r="Y36" s="476"/>
      <c r="Z36" s="477">
        <f>X36+Y36</f>
        <v>2000</v>
      </c>
      <c r="AA36" s="478">
        <v>550</v>
      </c>
      <c r="AB36" s="2"/>
    </row>
    <row r="37" spans="1:29" s="1" customFormat="1" ht="14.25" customHeight="1" x14ac:dyDescent="0.25">
      <c r="D37" s="13"/>
      <c r="E37" s="13"/>
      <c r="F37" s="13"/>
      <c r="G37" s="13"/>
      <c r="H37" s="13"/>
      <c r="I37" s="130"/>
      <c r="J37" s="194"/>
      <c r="K37" s="130"/>
      <c r="L37" s="130"/>
      <c r="M37" s="130"/>
      <c r="N37" s="130"/>
      <c r="O37" s="130"/>
      <c r="P37" s="11" t="s">
        <v>86</v>
      </c>
      <c r="Q37" s="12" t="s">
        <v>87</v>
      </c>
      <c r="R37" s="100">
        <v>411</v>
      </c>
      <c r="S37" s="100">
        <v>0</v>
      </c>
      <c r="T37" s="100">
        <v>128.5</v>
      </c>
      <c r="U37" s="25">
        <v>400</v>
      </c>
      <c r="V37" s="333">
        <v>40</v>
      </c>
      <c r="W37" s="476">
        <v>0</v>
      </c>
      <c r="X37" s="477">
        <v>0</v>
      </c>
      <c r="Y37" s="476"/>
      <c r="Z37" s="477">
        <f t="shared" ref="Z37:Z38" si="7">X37+Y37</f>
        <v>0</v>
      </c>
      <c r="AA37" s="478">
        <v>0</v>
      </c>
      <c r="AB37" s="2"/>
    </row>
    <row r="38" spans="1:29" s="1" customFormat="1" ht="14.25" customHeight="1" x14ac:dyDescent="0.25">
      <c r="D38" s="13"/>
      <c r="E38" s="13"/>
      <c r="F38" s="13"/>
      <c r="G38" s="13"/>
      <c r="H38" s="13"/>
      <c r="I38" s="13"/>
      <c r="J38" s="194"/>
      <c r="K38" s="13"/>
      <c r="L38" s="13"/>
      <c r="M38" s="13"/>
      <c r="N38" s="13"/>
      <c r="O38" s="13"/>
      <c r="P38" s="207" t="s">
        <v>88</v>
      </c>
      <c r="Q38" s="40" t="s">
        <v>22</v>
      </c>
      <c r="R38" s="199">
        <v>0</v>
      </c>
      <c r="S38" s="199">
        <v>250</v>
      </c>
      <c r="T38" s="199">
        <v>0</v>
      </c>
      <c r="U38" s="199">
        <v>250</v>
      </c>
      <c r="V38" s="334">
        <v>96.75</v>
      </c>
      <c r="W38" s="476">
        <v>250</v>
      </c>
      <c r="X38" s="477">
        <v>250</v>
      </c>
      <c r="Y38" s="476"/>
      <c r="Z38" s="477">
        <f t="shared" si="7"/>
        <v>250</v>
      </c>
      <c r="AA38" s="478">
        <v>0</v>
      </c>
      <c r="AB38" s="2"/>
    </row>
    <row r="39" spans="1:29" s="1" customFormat="1" ht="14.25" customHeight="1" thickBot="1" x14ac:dyDescent="0.3">
      <c r="D39" s="13"/>
      <c r="E39" s="13"/>
      <c r="F39" s="13"/>
      <c r="G39" s="13"/>
      <c r="H39" s="13"/>
      <c r="I39" s="13"/>
      <c r="J39" s="194"/>
      <c r="K39" s="13"/>
      <c r="L39" s="13"/>
      <c r="M39" s="13"/>
      <c r="N39" s="13"/>
      <c r="O39" s="13"/>
      <c r="P39" s="322" t="s">
        <v>324</v>
      </c>
      <c r="Q39" s="35"/>
      <c r="R39" s="491"/>
      <c r="S39" s="491"/>
      <c r="T39" s="491">
        <f>SUM(T35:T38)</f>
        <v>428.5</v>
      </c>
      <c r="U39" s="491">
        <f>SUM(U35:U38)</f>
        <v>3150</v>
      </c>
      <c r="V39" s="493">
        <f>SUM(V35:V38)</f>
        <v>1556.75</v>
      </c>
      <c r="W39" s="491">
        <f>SUM(W35:W38)</f>
        <v>2250</v>
      </c>
      <c r="X39" s="490">
        <v>2250</v>
      </c>
      <c r="Y39" s="491">
        <f>SUM(Y36:Y38)</f>
        <v>0</v>
      </c>
      <c r="Z39" s="490">
        <f>SUM(Z36:Z38)</f>
        <v>2250</v>
      </c>
      <c r="AA39" s="492">
        <f>SUM(AA36:AA38)</f>
        <v>550</v>
      </c>
      <c r="AB39" s="2"/>
    </row>
    <row r="40" spans="1:29" s="1" customFormat="1" ht="14.25" customHeight="1" x14ac:dyDescent="0.25">
      <c r="D40" s="13"/>
      <c r="E40" s="13"/>
      <c r="F40" s="13"/>
      <c r="G40" s="13"/>
      <c r="H40" s="13"/>
      <c r="I40" s="13"/>
      <c r="J40" s="194"/>
      <c r="K40" s="13"/>
      <c r="L40" s="13"/>
      <c r="M40" s="13"/>
      <c r="N40" s="13"/>
      <c r="O40" s="13"/>
      <c r="P40" s="10" t="s">
        <v>283</v>
      </c>
      <c r="Q40" s="4" t="s">
        <v>284</v>
      </c>
      <c r="R40" s="2"/>
      <c r="S40" s="100"/>
      <c r="T40" s="100"/>
      <c r="U40" s="100"/>
      <c r="V40" s="333"/>
      <c r="W40" s="224"/>
      <c r="X40" s="369"/>
      <c r="Y40" s="224"/>
      <c r="Z40" s="369"/>
      <c r="AA40" s="415"/>
      <c r="AB40" s="2"/>
    </row>
    <row r="41" spans="1:29" s="1" customFormat="1" ht="14.25" customHeight="1" x14ac:dyDescent="0.25">
      <c r="D41" s="13"/>
      <c r="E41" s="13"/>
      <c r="F41" s="13"/>
      <c r="G41" s="13"/>
      <c r="H41" s="13"/>
      <c r="I41" s="13"/>
      <c r="J41" s="194"/>
      <c r="K41" s="13"/>
      <c r="L41" s="13"/>
      <c r="M41" s="13"/>
      <c r="N41" s="13"/>
      <c r="O41" s="13"/>
      <c r="P41" s="11" t="s">
        <v>89</v>
      </c>
      <c r="Q41" s="12" t="s">
        <v>90</v>
      </c>
      <c r="R41" s="100">
        <v>21231.68</v>
      </c>
      <c r="S41" s="100">
        <v>21232</v>
      </c>
      <c r="T41" s="100">
        <v>21232</v>
      </c>
      <c r="U41" s="25">
        <v>21232</v>
      </c>
      <c r="V41" s="333">
        <v>21231.93</v>
      </c>
      <c r="W41" s="476">
        <v>22000</v>
      </c>
      <c r="X41" s="477">
        <v>22000</v>
      </c>
      <c r="Y41" s="476"/>
      <c r="Z41" s="477">
        <f>X41+Y41</f>
        <v>22000</v>
      </c>
      <c r="AA41" s="478">
        <v>10935.98</v>
      </c>
      <c r="AB41" s="2"/>
    </row>
    <row r="42" spans="1:29" s="1" customFormat="1" ht="14.25" customHeight="1" x14ac:dyDescent="0.25">
      <c r="D42" s="13"/>
      <c r="E42" s="13"/>
      <c r="F42" s="13"/>
      <c r="G42" s="13"/>
      <c r="H42" s="13"/>
      <c r="I42" s="13"/>
      <c r="J42" s="194"/>
      <c r="K42" s="13"/>
      <c r="L42" s="13"/>
      <c r="M42" s="13"/>
      <c r="N42" s="13"/>
      <c r="O42" s="13"/>
      <c r="P42" s="11" t="s">
        <v>91</v>
      </c>
      <c r="Q42" s="12" t="s">
        <v>92</v>
      </c>
      <c r="R42" s="100">
        <v>0</v>
      </c>
      <c r="S42" s="100">
        <v>0</v>
      </c>
      <c r="T42" s="100">
        <v>40</v>
      </c>
      <c r="U42" s="25">
        <v>0</v>
      </c>
      <c r="V42" s="333">
        <v>3286.92</v>
      </c>
      <c r="W42" s="476">
        <v>3300</v>
      </c>
      <c r="X42" s="477">
        <v>3300</v>
      </c>
      <c r="Y42" s="476"/>
      <c r="Z42" s="477">
        <f t="shared" ref="Z42:Z46" si="8">X42+Y42</f>
        <v>3300</v>
      </c>
      <c r="AA42" s="478">
        <v>0</v>
      </c>
      <c r="AB42" s="2" t="s">
        <v>262</v>
      </c>
    </row>
    <row r="43" spans="1:29" s="1" customFormat="1" ht="14.25" customHeight="1" x14ac:dyDescent="0.25">
      <c r="D43" s="13"/>
      <c r="E43" s="13"/>
      <c r="F43" s="13"/>
      <c r="G43" s="13"/>
      <c r="H43" s="13"/>
      <c r="I43" s="13"/>
      <c r="J43" s="194"/>
      <c r="K43" s="13"/>
      <c r="L43" s="13"/>
      <c r="M43" s="13"/>
      <c r="N43" s="13"/>
      <c r="O43" s="13"/>
      <c r="P43" s="11" t="s">
        <v>93</v>
      </c>
      <c r="Q43" s="12" t="s">
        <v>41</v>
      </c>
      <c r="R43" s="100">
        <v>0</v>
      </c>
      <c r="S43" s="100">
        <v>500</v>
      </c>
      <c r="T43" s="100">
        <v>390.63</v>
      </c>
      <c r="U43" s="25">
        <v>500</v>
      </c>
      <c r="V43" s="333">
        <v>856.26</v>
      </c>
      <c r="W43" s="476">
        <v>1000</v>
      </c>
      <c r="X43" s="477">
        <v>1000</v>
      </c>
      <c r="Y43" s="476">
        <v>1500</v>
      </c>
      <c r="Z43" s="477">
        <f t="shared" si="8"/>
        <v>2500</v>
      </c>
      <c r="AA43" s="478">
        <v>792.5</v>
      </c>
    </row>
    <row r="44" spans="1:29" s="1" customFormat="1" ht="14.25" customHeight="1" x14ac:dyDescent="0.25">
      <c r="D44" s="13"/>
      <c r="E44" s="13"/>
      <c r="F44" s="13"/>
      <c r="G44" s="13"/>
      <c r="H44" s="13"/>
      <c r="I44" s="13"/>
      <c r="J44" s="194"/>
      <c r="K44" s="13"/>
      <c r="L44" s="13"/>
      <c r="M44" s="13"/>
      <c r="N44" s="13"/>
      <c r="O44" s="13"/>
      <c r="P44" s="9" t="s">
        <v>94</v>
      </c>
      <c r="Q44" s="2" t="s">
        <v>15</v>
      </c>
      <c r="R44" s="100">
        <v>1806.02</v>
      </c>
      <c r="S44" s="100">
        <v>1500</v>
      </c>
      <c r="T44" s="100">
        <v>996.36</v>
      </c>
      <c r="U44" s="25">
        <v>3000</v>
      </c>
      <c r="V44" s="333">
        <v>3480.74</v>
      </c>
      <c r="W44" s="476">
        <v>1500</v>
      </c>
      <c r="X44" s="477">
        <v>1500</v>
      </c>
      <c r="Y44" s="476"/>
      <c r="Z44" s="477">
        <f t="shared" si="8"/>
        <v>1500</v>
      </c>
      <c r="AA44" s="478">
        <v>405.5</v>
      </c>
    </row>
    <row r="45" spans="1:29" s="1" customFormat="1" ht="14.25" customHeight="1" x14ac:dyDescent="0.25">
      <c r="D45" s="13"/>
      <c r="E45" s="13"/>
      <c r="F45" s="13"/>
      <c r="G45" s="13"/>
      <c r="H45" s="13"/>
      <c r="I45" s="13"/>
      <c r="J45" s="194"/>
      <c r="K45" s="13"/>
      <c r="L45" s="13"/>
      <c r="M45" s="13"/>
      <c r="N45" s="13"/>
      <c r="O45" s="13"/>
      <c r="P45" s="9" t="s">
        <v>95</v>
      </c>
      <c r="Q45" s="2" t="s">
        <v>48</v>
      </c>
      <c r="R45" s="100">
        <v>329</v>
      </c>
      <c r="S45" s="100">
        <v>250</v>
      </c>
      <c r="T45" s="100">
        <v>0</v>
      </c>
      <c r="U45" s="100">
        <v>300</v>
      </c>
      <c r="V45" s="333">
        <v>1098.8499999999999</v>
      </c>
      <c r="W45" s="476">
        <v>500</v>
      </c>
      <c r="X45" s="477">
        <v>500</v>
      </c>
      <c r="Y45" s="476"/>
      <c r="Z45" s="477">
        <f t="shared" si="8"/>
        <v>500</v>
      </c>
      <c r="AA45" s="478">
        <v>159</v>
      </c>
    </row>
    <row r="46" spans="1:29" s="1" customFormat="1" ht="14.25" customHeight="1" x14ac:dyDescent="0.25">
      <c r="D46" s="13"/>
      <c r="E46" s="13"/>
      <c r="F46" s="13"/>
      <c r="G46" s="13"/>
      <c r="H46" s="13"/>
      <c r="I46" s="13"/>
      <c r="J46" s="194"/>
      <c r="K46" s="13"/>
      <c r="L46" s="13"/>
      <c r="M46" s="13"/>
      <c r="N46" s="13"/>
      <c r="O46" s="13"/>
      <c r="P46" s="198" t="s">
        <v>96</v>
      </c>
      <c r="Q46" s="40" t="s">
        <v>22</v>
      </c>
      <c r="R46" s="199">
        <v>4477.5</v>
      </c>
      <c r="S46" s="199">
        <v>5000</v>
      </c>
      <c r="T46" s="199">
        <v>4740.87</v>
      </c>
      <c r="U46" s="199">
        <v>10000</v>
      </c>
      <c r="V46" s="334">
        <v>665.63</v>
      </c>
      <c r="W46" s="476">
        <v>0</v>
      </c>
      <c r="X46" s="477">
        <v>0</v>
      </c>
      <c r="Y46" s="476"/>
      <c r="Z46" s="477">
        <f t="shared" si="8"/>
        <v>0</v>
      </c>
      <c r="AA46" s="478"/>
    </row>
    <row r="47" spans="1:29" s="1" customFormat="1" ht="14.25" customHeight="1" thickBot="1" x14ac:dyDescent="0.3">
      <c r="D47" s="13"/>
      <c r="E47" s="13"/>
      <c r="F47" s="13"/>
      <c r="G47" s="13"/>
      <c r="H47" s="13"/>
      <c r="I47" s="13"/>
      <c r="J47" s="194"/>
      <c r="K47" s="13"/>
      <c r="L47" s="13"/>
      <c r="M47" s="13"/>
      <c r="N47" s="13"/>
      <c r="O47" s="13"/>
      <c r="P47" s="322" t="s">
        <v>324</v>
      </c>
      <c r="Q47" s="35"/>
      <c r="R47" s="491"/>
      <c r="S47" s="491"/>
      <c r="T47" s="491">
        <f>SUM(T41:T46)</f>
        <v>27399.86</v>
      </c>
      <c r="U47" s="491">
        <f>SUM(U41:U46)</f>
        <v>35032</v>
      </c>
      <c r="V47" s="493">
        <f>SUM(V41:V46)</f>
        <v>30620.329999999998</v>
      </c>
      <c r="W47" s="491">
        <f>SUM(W41:W46)</f>
        <v>28300</v>
      </c>
      <c r="X47" s="490">
        <v>28300</v>
      </c>
      <c r="Y47" s="491">
        <f>SUM(Y41:Y46)</f>
        <v>1500</v>
      </c>
      <c r="Z47" s="490">
        <f>SUM(Z41:Z46)</f>
        <v>29800</v>
      </c>
      <c r="AA47" s="492">
        <f>SUM(AA41:AA46)</f>
        <v>12292.98</v>
      </c>
    </row>
    <row r="48" spans="1:29" s="1" customFormat="1" ht="14.25" customHeight="1" x14ac:dyDescent="0.25">
      <c r="D48" s="13"/>
      <c r="E48" s="13"/>
      <c r="F48" s="13"/>
      <c r="G48" s="13"/>
      <c r="H48" s="13"/>
      <c r="I48" s="13"/>
      <c r="J48" s="194"/>
      <c r="K48" s="13"/>
      <c r="L48" s="13"/>
      <c r="M48" s="13"/>
      <c r="N48" s="13"/>
      <c r="O48" s="13"/>
      <c r="P48" s="10" t="s">
        <v>97</v>
      </c>
      <c r="Q48" s="4" t="s">
        <v>98</v>
      </c>
      <c r="R48" s="100">
        <v>0</v>
      </c>
      <c r="S48" s="100"/>
      <c r="T48" s="100"/>
      <c r="U48" s="25"/>
      <c r="V48" s="333"/>
      <c r="W48" s="224"/>
      <c r="X48" s="369"/>
      <c r="Y48" s="224"/>
      <c r="Z48" s="369"/>
      <c r="AA48" s="415"/>
    </row>
    <row r="49" spans="4:29" s="1" customFormat="1" ht="14.25" customHeight="1" x14ac:dyDescent="0.25">
      <c r="D49" s="13"/>
      <c r="E49" s="13"/>
      <c r="F49" s="13"/>
      <c r="G49" s="13"/>
      <c r="H49" s="13"/>
      <c r="I49" s="13"/>
      <c r="J49" s="194"/>
      <c r="K49" s="13"/>
      <c r="L49" s="13"/>
      <c r="M49" s="13"/>
      <c r="N49" s="13"/>
      <c r="O49" s="13"/>
      <c r="P49" s="11" t="s">
        <v>299</v>
      </c>
      <c r="Q49" s="12" t="s">
        <v>300</v>
      </c>
      <c r="R49" s="100"/>
      <c r="S49" s="100"/>
      <c r="T49" s="100">
        <v>0</v>
      </c>
      <c r="U49" s="25">
        <v>0</v>
      </c>
      <c r="V49" s="333">
        <v>0</v>
      </c>
      <c r="W49" s="358">
        <v>24000</v>
      </c>
      <c r="X49" s="477">
        <v>24000</v>
      </c>
      <c r="Y49" s="476"/>
      <c r="Z49" s="477">
        <f>X49+Y49</f>
        <v>24000</v>
      </c>
      <c r="AA49" s="478">
        <v>2000</v>
      </c>
    </row>
    <row r="50" spans="4:29" s="1" customFormat="1" ht="14.25" customHeight="1" x14ac:dyDescent="0.25">
      <c r="D50" s="13"/>
      <c r="E50" s="13"/>
      <c r="F50" s="13"/>
      <c r="G50" s="13"/>
      <c r="H50" s="13"/>
      <c r="I50" s="13"/>
      <c r="J50" s="194"/>
      <c r="K50" s="13"/>
      <c r="L50" s="13"/>
      <c r="M50" s="13"/>
      <c r="N50" s="13"/>
      <c r="O50" s="13"/>
      <c r="P50" s="11" t="s">
        <v>99</v>
      </c>
      <c r="Q50" s="12" t="s">
        <v>15</v>
      </c>
      <c r="R50" s="100">
        <v>1384.84</v>
      </c>
      <c r="S50" s="100">
        <v>1500</v>
      </c>
      <c r="T50" s="100">
        <v>1629.21</v>
      </c>
      <c r="U50" s="25">
        <v>1500</v>
      </c>
      <c r="V50" s="333">
        <v>203.25</v>
      </c>
      <c r="W50" s="224">
        <v>500</v>
      </c>
      <c r="X50" s="477">
        <v>500</v>
      </c>
      <c r="Y50" s="476"/>
      <c r="Z50" s="477">
        <f t="shared" ref="Z50:Z55" si="9">X50+Y50</f>
        <v>500</v>
      </c>
      <c r="AA50" s="478">
        <v>410.31</v>
      </c>
    </row>
    <row r="51" spans="4:29" s="1" customFormat="1" ht="14.25" customHeight="1" x14ac:dyDescent="0.25">
      <c r="D51" s="13"/>
      <c r="E51" s="13"/>
      <c r="F51" s="13"/>
      <c r="G51" s="13"/>
      <c r="H51" s="13"/>
      <c r="I51" s="13"/>
      <c r="J51" s="194"/>
      <c r="K51" s="13"/>
      <c r="L51" s="13"/>
      <c r="M51" s="13"/>
      <c r="N51" s="13"/>
      <c r="O51" s="13"/>
      <c r="P51" s="11" t="s">
        <v>100</v>
      </c>
      <c r="Q51" s="1" t="s">
        <v>101</v>
      </c>
      <c r="R51" s="39">
        <v>280</v>
      </c>
      <c r="S51" s="39">
        <v>7500</v>
      </c>
      <c r="T51" s="39">
        <v>0</v>
      </c>
      <c r="U51" s="39">
        <v>5000</v>
      </c>
      <c r="V51" s="333">
        <v>1945</v>
      </c>
      <c r="W51" s="209">
        <v>5000</v>
      </c>
      <c r="X51" s="484">
        <v>5000</v>
      </c>
      <c r="Y51" s="476"/>
      <c r="Z51" s="477">
        <f t="shared" si="9"/>
        <v>5000</v>
      </c>
      <c r="AA51" s="485">
        <v>480</v>
      </c>
    </row>
    <row r="52" spans="4:29" s="1" customFormat="1" ht="14.25" customHeight="1" x14ac:dyDescent="0.25">
      <c r="D52" s="13"/>
      <c r="E52" s="13"/>
      <c r="F52" s="13"/>
      <c r="G52" s="13"/>
      <c r="H52" s="13"/>
      <c r="I52" s="13"/>
      <c r="J52" s="194"/>
      <c r="K52" s="13"/>
      <c r="L52" s="13"/>
      <c r="M52" s="13"/>
      <c r="N52" s="13"/>
      <c r="O52" s="13"/>
      <c r="P52" s="14" t="s">
        <v>102</v>
      </c>
      <c r="Q52" s="15" t="s">
        <v>103</v>
      </c>
      <c r="R52" s="39">
        <v>7166.62</v>
      </c>
      <c r="S52" s="39">
        <v>5300</v>
      </c>
      <c r="T52" s="39">
        <v>6330.23</v>
      </c>
      <c r="U52" s="16">
        <v>6000</v>
      </c>
      <c r="V52" s="333">
        <v>8189.21</v>
      </c>
      <c r="W52" s="226">
        <v>8500</v>
      </c>
      <c r="X52" s="484">
        <v>8500</v>
      </c>
      <c r="Y52" s="476"/>
      <c r="Z52" s="477">
        <f t="shared" si="9"/>
        <v>8500</v>
      </c>
      <c r="AA52" s="485">
        <v>4713.75</v>
      </c>
      <c r="AB52" s="16"/>
    </row>
    <row r="53" spans="4:29" s="1" customFormat="1" ht="15.75" x14ac:dyDescent="0.25">
      <c r="D53" s="13"/>
      <c r="E53" s="13"/>
      <c r="F53" s="13"/>
      <c r="G53" s="13"/>
      <c r="H53" s="13"/>
      <c r="I53" s="13"/>
      <c r="J53" s="194"/>
      <c r="K53" s="13"/>
      <c r="L53" s="13"/>
      <c r="M53" s="13"/>
      <c r="N53" s="13"/>
      <c r="O53" s="13"/>
      <c r="P53" s="14" t="s">
        <v>104</v>
      </c>
      <c r="Q53" s="15" t="s">
        <v>105</v>
      </c>
      <c r="R53" s="39">
        <v>3101.56</v>
      </c>
      <c r="S53" s="39">
        <v>2700</v>
      </c>
      <c r="T53" s="39">
        <v>3372.72</v>
      </c>
      <c r="U53" s="16">
        <v>3500</v>
      </c>
      <c r="V53" s="333">
        <v>3985.32</v>
      </c>
      <c r="W53" s="226">
        <v>4000</v>
      </c>
      <c r="X53" s="484">
        <v>4000</v>
      </c>
      <c r="Y53" s="476"/>
      <c r="Z53" s="477">
        <f t="shared" si="9"/>
        <v>4000</v>
      </c>
      <c r="AA53" s="485">
        <v>314.22000000000003</v>
      </c>
    </row>
    <row r="54" spans="4:29" s="1" customFormat="1" ht="15.75" x14ac:dyDescent="0.25">
      <c r="D54" s="13"/>
      <c r="E54" s="13"/>
      <c r="F54" s="13"/>
      <c r="G54" s="13"/>
      <c r="H54" s="13"/>
      <c r="I54" s="13"/>
      <c r="J54" s="194"/>
      <c r="K54" s="13"/>
      <c r="L54" s="13"/>
      <c r="M54" s="13"/>
      <c r="N54" s="13"/>
      <c r="O54" s="13"/>
      <c r="P54" s="14" t="s">
        <v>106</v>
      </c>
      <c r="Q54" s="15" t="s">
        <v>107</v>
      </c>
      <c r="R54" s="39">
        <v>16388.919999999998</v>
      </c>
      <c r="S54" s="39">
        <v>15000</v>
      </c>
      <c r="T54" s="39">
        <v>13220.7</v>
      </c>
      <c r="U54" s="39">
        <v>15000</v>
      </c>
      <c r="V54" s="333">
        <v>730</v>
      </c>
      <c r="W54" s="209">
        <v>0</v>
      </c>
      <c r="X54" s="484">
        <v>0</v>
      </c>
      <c r="Y54" s="486">
        <v>20000</v>
      </c>
      <c r="Z54" s="477">
        <f t="shared" si="9"/>
        <v>20000</v>
      </c>
      <c r="AA54" s="485">
        <v>11194.45</v>
      </c>
    </row>
    <row r="55" spans="4:29" s="1" customFormat="1" ht="15.75" x14ac:dyDescent="0.25">
      <c r="D55" s="13"/>
      <c r="E55" s="13"/>
      <c r="F55" s="13"/>
      <c r="G55" s="13"/>
      <c r="H55" s="13"/>
      <c r="I55" s="13"/>
      <c r="J55" s="194"/>
      <c r="K55" s="13"/>
      <c r="L55" s="13"/>
      <c r="M55" s="13"/>
      <c r="N55" s="13"/>
      <c r="O55" s="13"/>
      <c r="P55" s="198" t="s">
        <v>108</v>
      </c>
      <c r="Q55" s="40" t="s">
        <v>109</v>
      </c>
      <c r="R55" s="199">
        <v>10100</v>
      </c>
      <c r="S55" s="199">
        <v>15000</v>
      </c>
      <c r="T55" s="199">
        <v>12047</v>
      </c>
      <c r="U55" s="199">
        <v>15000</v>
      </c>
      <c r="V55" s="334">
        <v>7003.46</v>
      </c>
      <c r="W55" s="208">
        <v>20000</v>
      </c>
      <c r="X55" s="477">
        <v>20000</v>
      </c>
      <c r="Y55" s="476"/>
      <c r="Z55" s="477">
        <f t="shared" si="9"/>
        <v>20000</v>
      </c>
      <c r="AA55" s="478">
        <v>11574.88</v>
      </c>
    </row>
    <row r="56" spans="4:29" s="1" customFormat="1" ht="16.5" thickBot="1" x14ac:dyDescent="0.3">
      <c r="D56" s="13"/>
      <c r="E56" s="13"/>
      <c r="F56" s="13"/>
      <c r="G56" s="13"/>
      <c r="H56" s="13"/>
      <c r="I56" s="13"/>
      <c r="J56" s="194"/>
      <c r="K56" s="13"/>
      <c r="L56" s="13"/>
      <c r="M56" s="13"/>
      <c r="N56" s="13"/>
      <c r="O56" s="13"/>
      <c r="P56" s="322" t="s">
        <v>324</v>
      </c>
      <c r="Q56" s="35"/>
      <c r="R56" s="491"/>
      <c r="S56" s="491"/>
      <c r="T56" s="491">
        <f>SUM(T49:T55)</f>
        <v>36599.86</v>
      </c>
      <c r="U56" s="491">
        <f>SUM(U49:U55)</f>
        <v>46000</v>
      </c>
      <c r="V56" s="493">
        <f>SUM(V49:V55)</f>
        <v>22056.239999999998</v>
      </c>
      <c r="W56" s="491">
        <f>SUM(W49:W55)</f>
        <v>62000</v>
      </c>
      <c r="X56" s="490">
        <v>62000</v>
      </c>
      <c r="Y56" s="491">
        <f>SUM(Y49:Y55)</f>
        <v>20000</v>
      </c>
      <c r="Z56" s="490">
        <f>SUM(Z49:Z55)</f>
        <v>82000</v>
      </c>
      <c r="AA56" s="492">
        <f>SUM(AA49:AA55)</f>
        <v>30687.61</v>
      </c>
    </row>
    <row r="57" spans="4:29" s="1" customFormat="1" ht="14.25" customHeight="1" x14ac:dyDescent="0.25">
      <c r="D57" s="13"/>
      <c r="E57" s="13"/>
      <c r="F57" s="13"/>
      <c r="G57" s="13"/>
      <c r="H57" s="13"/>
      <c r="I57" s="13"/>
      <c r="J57" s="194"/>
      <c r="K57" s="13"/>
      <c r="L57" s="13"/>
      <c r="M57" s="13"/>
      <c r="N57" s="13"/>
      <c r="O57" s="13"/>
      <c r="P57" s="17" t="s">
        <v>116</v>
      </c>
      <c r="Q57" s="18" t="s">
        <v>270</v>
      </c>
      <c r="R57" s="39"/>
      <c r="S57" s="39"/>
      <c r="T57" s="39"/>
      <c r="U57" s="39"/>
      <c r="V57" s="335"/>
      <c r="W57" s="209"/>
      <c r="X57" s="370"/>
      <c r="Y57" s="209"/>
      <c r="Z57" s="370"/>
      <c r="AA57" s="416"/>
      <c r="AC57" s="19"/>
    </row>
    <row r="58" spans="4:29" s="1" customFormat="1" ht="15.75" x14ac:dyDescent="0.25">
      <c r="D58" s="13"/>
      <c r="E58" s="13"/>
      <c r="F58" s="13"/>
      <c r="G58" s="13"/>
      <c r="H58" s="13"/>
      <c r="I58" s="13"/>
      <c r="J58" s="194"/>
      <c r="K58" s="13"/>
      <c r="L58" s="13"/>
      <c r="M58" s="13"/>
      <c r="N58" s="13"/>
      <c r="O58" s="13"/>
      <c r="P58" s="14" t="s">
        <v>110</v>
      </c>
      <c r="Q58" s="15" t="s">
        <v>111</v>
      </c>
      <c r="R58" s="39">
        <v>5975</v>
      </c>
      <c r="S58" s="39">
        <v>8000</v>
      </c>
      <c r="T58" s="39">
        <v>915.89</v>
      </c>
      <c r="U58" s="16">
        <v>10000</v>
      </c>
      <c r="V58" s="335">
        <v>18675</v>
      </c>
      <c r="W58" s="209">
        <v>4500</v>
      </c>
      <c r="X58" s="484">
        <v>4500</v>
      </c>
      <c r="Y58" s="486"/>
      <c r="Z58" s="484">
        <f>X58+Y58</f>
        <v>4500</v>
      </c>
      <c r="AA58" s="485">
        <v>7225</v>
      </c>
      <c r="AC58" s="19"/>
    </row>
    <row r="59" spans="4:29" s="1" customFormat="1" ht="15.75" x14ac:dyDescent="0.25">
      <c r="D59" s="13"/>
      <c r="E59" s="13"/>
      <c r="F59" s="13"/>
      <c r="G59" s="13"/>
      <c r="H59" s="13"/>
      <c r="I59" s="13"/>
      <c r="J59" s="194"/>
      <c r="K59" s="13"/>
      <c r="L59" s="13"/>
      <c r="M59" s="13"/>
      <c r="N59" s="13"/>
      <c r="O59" s="13"/>
      <c r="P59" s="14" t="s">
        <v>112</v>
      </c>
      <c r="Q59" s="15" t="s">
        <v>103</v>
      </c>
      <c r="R59" s="39">
        <v>689.76</v>
      </c>
      <c r="S59" s="39">
        <v>700</v>
      </c>
      <c r="T59" s="39">
        <v>782</v>
      </c>
      <c r="U59" s="16">
        <v>900</v>
      </c>
      <c r="V59" s="335">
        <v>888.88</v>
      </c>
      <c r="W59" s="209">
        <v>1000</v>
      </c>
      <c r="X59" s="484">
        <v>1000</v>
      </c>
      <c r="Y59" s="486"/>
      <c r="Z59" s="484">
        <f t="shared" ref="Z59:Z63" si="10">X59+Y59</f>
        <v>1000</v>
      </c>
      <c r="AA59" s="485">
        <v>359.73</v>
      </c>
    </row>
    <row r="60" spans="4:29" s="1" customFormat="1" ht="15.75" x14ac:dyDescent="0.25">
      <c r="D60" s="13"/>
      <c r="E60" s="13"/>
      <c r="F60" s="13"/>
      <c r="G60" s="13"/>
      <c r="H60" s="13"/>
      <c r="I60" s="13"/>
      <c r="J60" s="194"/>
      <c r="K60" s="13"/>
      <c r="L60" s="13"/>
      <c r="M60" s="13"/>
      <c r="N60" s="13"/>
      <c r="O60" s="13"/>
      <c r="P60" s="14" t="s">
        <v>113</v>
      </c>
      <c r="Q60" s="15" t="s">
        <v>114</v>
      </c>
      <c r="R60" s="39">
        <v>1960.73</v>
      </c>
      <c r="S60" s="39">
        <v>1000</v>
      </c>
      <c r="T60" s="39">
        <v>2685</v>
      </c>
      <c r="U60" s="39">
        <v>500</v>
      </c>
      <c r="V60" s="335">
        <v>260.24</v>
      </c>
      <c r="W60" s="209">
        <v>225</v>
      </c>
      <c r="X60" s="484">
        <v>225</v>
      </c>
      <c r="Y60" s="486"/>
      <c r="Z60" s="484">
        <f t="shared" si="10"/>
        <v>225</v>
      </c>
      <c r="AA60" s="485">
        <v>464.17</v>
      </c>
      <c r="AB60" s="1" t="s">
        <v>292</v>
      </c>
    </row>
    <row r="61" spans="4:29" s="1" customFormat="1" ht="15.75" x14ac:dyDescent="0.25">
      <c r="D61" s="13"/>
      <c r="E61" s="13"/>
      <c r="F61" s="13"/>
      <c r="G61" s="13"/>
      <c r="H61" s="13"/>
      <c r="I61" s="13"/>
      <c r="J61" s="194"/>
      <c r="K61" s="13"/>
      <c r="L61" s="13"/>
      <c r="M61" s="13"/>
      <c r="N61" s="13"/>
      <c r="O61" s="13"/>
      <c r="P61" s="14" t="s">
        <v>115</v>
      </c>
      <c r="Q61" s="15" t="s">
        <v>29</v>
      </c>
      <c r="R61" s="39">
        <v>0</v>
      </c>
      <c r="S61" s="39">
        <v>400</v>
      </c>
      <c r="T61" s="39">
        <v>0</v>
      </c>
      <c r="U61" s="39">
        <v>0</v>
      </c>
      <c r="V61" s="335">
        <v>0</v>
      </c>
      <c r="W61" s="209">
        <v>10000</v>
      </c>
      <c r="X61" s="484">
        <v>10000</v>
      </c>
      <c r="Y61" s="486"/>
      <c r="Z61" s="484">
        <f t="shared" si="10"/>
        <v>10000</v>
      </c>
      <c r="AA61" s="485">
        <v>0</v>
      </c>
      <c r="AB61" s="1" t="s">
        <v>294</v>
      </c>
    </row>
    <row r="62" spans="4:29" s="1" customFormat="1" ht="15.75" x14ac:dyDescent="0.25">
      <c r="D62" s="13"/>
      <c r="E62" s="13"/>
      <c r="F62" s="13"/>
      <c r="G62" s="13"/>
      <c r="H62" s="13"/>
      <c r="I62" s="13"/>
      <c r="J62" s="194"/>
      <c r="K62" s="13"/>
      <c r="L62" s="13"/>
      <c r="M62" s="13"/>
      <c r="N62" s="13"/>
      <c r="O62" s="13"/>
      <c r="P62" s="14" t="s">
        <v>285</v>
      </c>
      <c r="Q62" s="15" t="s">
        <v>107</v>
      </c>
      <c r="R62" s="39"/>
      <c r="S62" s="39"/>
      <c r="T62" s="39">
        <v>0</v>
      </c>
      <c r="U62" s="16">
        <v>0</v>
      </c>
      <c r="V62" s="332">
        <v>0</v>
      </c>
      <c r="W62" s="209">
        <v>13700</v>
      </c>
      <c r="X62" s="484">
        <v>13700</v>
      </c>
      <c r="Y62" s="486"/>
      <c r="Z62" s="484">
        <f t="shared" si="10"/>
        <v>13700</v>
      </c>
      <c r="AA62" s="485">
        <v>2950</v>
      </c>
      <c r="AC62" s="2"/>
    </row>
    <row r="63" spans="4:29" s="1" customFormat="1" ht="15.75" x14ac:dyDescent="0.25">
      <c r="D63" s="13"/>
      <c r="E63" s="13"/>
      <c r="F63" s="13"/>
      <c r="G63" s="13"/>
      <c r="H63" s="13"/>
      <c r="I63" s="13"/>
      <c r="J63" s="194"/>
      <c r="K63" s="13"/>
      <c r="L63" s="13"/>
      <c r="M63" s="13"/>
      <c r="N63" s="13"/>
      <c r="O63" s="13"/>
      <c r="P63" s="198" t="s">
        <v>116</v>
      </c>
      <c r="Q63" s="40" t="s">
        <v>117</v>
      </c>
      <c r="R63" s="199">
        <v>0</v>
      </c>
      <c r="S63" s="199">
        <v>0</v>
      </c>
      <c r="T63" s="199">
        <v>2102.86</v>
      </c>
      <c r="U63" s="199">
        <v>0</v>
      </c>
      <c r="V63" s="334">
        <v>0</v>
      </c>
      <c r="W63" s="208">
        <v>0</v>
      </c>
      <c r="X63" s="477">
        <v>0</v>
      </c>
      <c r="Y63" s="476"/>
      <c r="Z63" s="484">
        <f t="shared" si="10"/>
        <v>0</v>
      </c>
      <c r="AA63" s="478"/>
      <c r="AC63" s="2"/>
    </row>
    <row r="64" spans="4:29" s="1" customFormat="1" ht="16.5" thickBot="1" x14ac:dyDescent="0.3">
      <c r="D64" s="13"/>
      <c r="E64" s="13"/>
      <c r="F64" s="13"/>
      <c r="G64" s="13"/>
      <c r="H64" s="13"/>
      <c r="I64" s="13"/>
      <c r="J64" s="194"/>
      <c r="K64" s="13"/>
      <c r="L64" s="13"/>
      <c r="M64" s="13"/>
      <c r="N64" s="13"/>
      <c r="O64" s="13"/>
      <c r="P64" s="322" t="s">
        <v>324</v>
      </c>
      <c r="Q64" s="35"/>
      <c r="R64" s="491"/>
      <c r="S64" s="491"/>
      <c r="T64" s="491">
        <f>SUM(T58:T63)</f>
        <v>6485.75</v>
      </c>
      <c r="U64" s="491">
        <f>SUM(U58:U63)</f>
        <v>11400</v>
      </c>
      <c r="V64" s="493">
        <f>SUM(V58:V63)</f>
        <v>19824.120000000003</v>
      </c>
      <c r="W64" s="491">
        <f>SUM(W58:W63)</f>
        <v>29425</v>
      </c>
      <c r="X64" s="490">
        <v>29425</v>
      </c>
      <c r="Y64" s="491"/>
      <c r="Z64" s="490">
        <f>SUM(Z58:Z63)</f>
        <v>29425</v>
      </c>
      <c r="AA64" s="492">
        <f>SUM(AA58:AA63)</f>
        <v>10998.9</v>
      </c>
      <c r="AC64" s="2"/>
    </row>
    <row r="65" spans="1:30" s="1" customFormat="1" ht="15.75" x14ac:dyDescent="0.25">
      <c r="D65" s="13"/>
      <c r="E65" s="13"/>
      <c r="F65" s="13"/>
      <c r="G65" s="13"/>
      <c r="H65" s="13"/>
      <c r="I65" s="13"/>
      <c r="J65" s="194"/>
      <c r="K65" s="13"/>
      <c r="L65" s="13"/>
      <c r="M65" s="13"/>
      <c r="N65" s="13"/>
      <c r="O65" s="13"/>
      <c r="P65" s="17" t="s">
        <v>125</v>
      </c>
      <c r="Q65" s="18" t="s">
        <v>126</v>
      </c>
      <c r="R65" s="39">
        <f>-271.26+185+362.5-115</f>
        <v>161.24</v>
      </c>
      <c r="S65" s="39">
        <v>0</v>
      </c>
      <c r="T65" s="39">
        <v>0</v>
      </c>
      <c r="U65" s="16">
        <v>0</v>
      </c>
      <c r="V65" s="335">
        <v>0</v>
      </c>
      <c r="W65" s="209">
        <v>0</v>
      </c>
      <c r="X65" s="370">
        <v>0</v>
      </c>
      <c r="Y65" s="209"/>
      <c r="Z65" s="370">
        <v>0</v>
      </c>
      <c r="AA65" s="416"/>
      <c r="AC65" s="2"/>
    </row>
    <row r="66" spans="1:30" s="1" customFormat="1" ht="15.75" x14ac:dyDescent="0.25">
      <c r="D66" s="13"/>
      <c r="E66" s="13"/>
      <c r="F66" s="13"/>
      <c r="G66" s="13"/>
      <c r="H66" s="13"/>
      <c r="I66" s="13"/>
      <c r="J66" s="194"/>
      <c r="K66" s="13"/>
      <c r="L66" s="13"/>
      <c r="M66" s="13"/>
      <c r="N66" s="13"/>
      <c r="O66" s="13"/>
      <c r="P66" s="14" t="s">
        <v>302</v>
      </c>
      <c r="Q66" s="15" t="s">
        <v>303</v>
      </c>
      <c r="R66" s="39"/>
      <c r="S66" s="39"/>
      <c r="T66" s="39">
        <v>0</v>
      </c>
      <c r="U66" s="16">
        <v>0</v>
      </c>
      <c r="V66" s="340">
        <v>10282.43</v>
      </c>
      <c r="W66" s="209">
        <v>0</v>
      </c>
      <c r="X66" s="484">
        <v>0</v>
      </c>
      <c r="Y66" s="486"/>
      <c r="Z66" s="484">
        <v>0</v>
      </c>
      <c r="AA66" s="485">
        <v>685.8</v>
      </c>
      <c r="AC66" s="2"/>
    </row>
    <row r="67" spans="1:30" s="1" customFormat="1" ht="15.75" x14ac:dyDescent="0.25">
      <c r="D67" s="13"/>
      <c r="E67" s="13"/>
      <c r="F67" s="13"/>
      <c r="G67" s="13"/>
      <c r="H67" s="13"/>
      <c r="I67" s="13"/>
      <c r="J67" s="194"/>
      <c r="K67" s="13"/>
      <c r="L67" s="13"/>
      <c r="M67" s="13"/>
      <c r="N67" s="13"/>
      <c r="O67" s="13"/>
      <c r="P67" s="14" t="s">
        <v>304</v>
      </c>
      <c r="Q67" s="15" t="s">
        <v>305</v>
      </c>
      <c r="R67" s="39"/>
      <c r="S67" s="39"/>
      <c r="T67" s="39">
        <v>0</v>
      </c>
      <c r="U67" s="16">
        <v>0</v>
      </c>
      <c r="V67" s="340">
        <v>8785.89</v>
      </c>
      <c r="W67" s="209">
        <v>0</v>
      </c>
      <c r="X67" s="484">
        <v>0</v>
      </c>
      <c r="Y67" s="486"/>
      <c r="Z67" s="484">
        <v>0</v>
      </c>
      <c r="AA67" s="485">
        <v>3631.07</v>
      </c>
      <c r="AC67" s="2"/>
    </row>
    <row r="68" spans="1:30" s="1" customFormat="1" ht="15.75" x14ac:dyDescent="0.25">
      <c r="D68" s="13"/>
      <c r="E68" s="13"/>
      <c r="F68" s="13"/>
      <c r="G68" s="13"/>
      <c r="H68" s="13"/>
      <c r="I68" s="13"/>
      <c r="J68" s="194"/>
      <c r="K68" s="13"/>
      <c r="L68" s="13"/>
      <c r="M68" s="13"/>
      <c r="N68" s="13"/>
      <c r="O68" s="13"/>
      <c r="P68" s="14" t="s">
        <v>325</v>
      </c>
      <c r="Q68" s="15" t="s">
        <v>326</v>
      </c>
      <c r="R68" s="39"/>
      <c r="S68" s="39"/>
      <c r="T68" s="39">
        <v>0</v>
      </c>
      <c r="U68" s="16">
        <v>0</v>
      </c>
      <c r="V68" s="340">
        <v>2237.88</v>
      </c>
      <c r="W68" s="209"/>
      <c r="X68" s="484"/>
      <c r="Y68" s="486"/>
      <c r="Z68" s="484"/>
      <c r="AA68" s="485">
        <v>1399.86</v>
      </c>
      <c r="AC68" s="2"/>
    </row>
    <row r="69" spans="1:30" s="1" customFormat="1" ht="15.75" x14ac:dyDescent="0.25">
      <c r="D69" s="13"/>
      <c r="E69" s="13"/>
      <c r="F69" s="13"/>
      <c r="G69" s="13"/>
      <c r="H69" s="13"/>
      <c r="I69" s="13"/>
      <c r="J69" s="194"/>
      <c r="K69" s="13"/>
      <c r="L69" s="13"/>
      <c r="M69" s="13"/>
      <c r="N69" s="13"/>
      <c r="O69" s="13"/>
      <c r="P69" s="14" t="s">
        <v>306</v>
      </c>
      <c r="Q69" s="15" t="s">
        <v>307</v>
      </c>
      <c r="R69" s="39"/>
      <c r="S69" s="39"/>
      <c r="T69" s="39">
        <v>0</v>
      </c>
      <c r="U69" s="16">
        <v>0</v>
      </c>
      <c r="V69" s="340">
        <v>954</v>
      </c>
      <c r="W69" s="209">
        <v>0</v>
      </c>
      <c r="X69" s="484">
        <v>0</v>
      </c>
      <c r="Y69" s="486"/>
      <c r="Z69" s="484">
        <v>0</v>
      </c>
      <c r="AA69" s="485"/>
    </row>
    <row r="70" spans="1:30" s="1" customFormat="1" ht="15.75" x14ac:dyDescent="0.25">
      <c r="D70" s="13"/>
      <c r="E70" s="13"/>
      <c r="F70" s="13"/>
      <c r="G70" s="13"/>
      <c r="H70" s="13"/>
      <c r="I70" s="13"/>
      <c r="J70" s="194"/>
      <c r="K70" s="13"/>
      <c r="L70" s="13"/>
      <c r="M70" s="13"/>
      <c r="N70" s="13"/>
      <c r="O70" s="13"/>
      <c r="P70" s="14" t="s">
        <v>308</v>
      </c>
      <c r="Q70" s="15" t="s">
        <v>309</v>
      </c>
      <c r="R70" s="39"/>
      <c r="S70" s="39"/>
      <c r="T70" s="39">
        <v>0</v>
      </c>
      <c r="U70" s="16">
        <v>0</v>
      </c>
      <c r="V70" s="340">
        <v>110.98</v>
      </c>
      <c r="W70" s="209">
        <v>0</v>
      </c>
      <c r="X70" s="484">
        <v>0</v>
      </c>
      <c r="Y70" s="486"/>
      <c r="Z70" s="484">
        <v>0</v>
      </c>
      <c r="AA70" s="485"/>
    </row>
    <row r="71" spans="1:30" s="1" customFormat="1" ht="15" customHeight="1" x14ac:dyDescent="0.25">
      <c r="D71" s="13"/>
      <c r="E71" s="13"/>
      <c r="F71" s="13"/>
      <c r="G71" s="13"/>
      <c r="H71" s="13"/>
      <c r="I71" s="13"/>
      <c r="J71" s="194"/>
      <c r="K71" s="13"/>
      <c r="L71" s="13"/>
      <c r="M71" s="13"/>
      <c r="N71" s="13"/>
      <c r="O71" s="13"/>
      <c r="P71" s="14" t="s">
        <v>310</v>
      </c>
      <c r="Q71" s="15" t="s">
        <v>311</v>
      </c>
      <c r="R71" s="39"/>
      <c r="S71" s="39"/>
      <c r="T71" s="39">
        <v>0</v>
      </c>
      <c r="U71" s="16">
        <v>0</v>
      </c>
      <c r="V71" s="340">
        <v>2645</v>
      </c>
      <c r="W71" s="209">
        <v>0</v>
      </c>
      <c r="X71" s="484">
        <v>0</v>
      </c>
      <c r="Y71" s="486"/>
      <c r="Z71" s="484">
        <v>0</v>
      </c>
      <c r="AA71" s="485">
        <v>1.82</v>
      </c>
    </row>
    <row r="72" spans="1:30" s="1" customFormat="1" ht="15.75" x14ac:dyDescent="0.25">
      <c r="D72" s="13"/>
      <c r="E72" s="13"/>
      <c r="F72" s="13"/>
      <c r="G72" s="13"/>
      <c r="H72" s="13"/>
      <c r="I72" s="13"/>
      <c r="J72" s="194"/>
      <c r="K72" s="13"/>
      <c r="L72" s="13"/>
      <c r="M72" s="13"/>
      <c r="N72" s="13"/>
      <c r="O72" s="13"/>
      <c r="P72" s="198" t="s">
        <v>32</v>
      </c>
      <c r="Q72" s="40" t="s">
        <v>33</v>
      </c>
      <c r="R72" s="199">
        <v>0</v>
      </c>
      <c r="S72" s="199">
        <v>10000</v>
      </c>
      <c r="T72" s="199">
        <f>10600+13987-10000</f>
        <v>14587</v>
      </c>
      <c r="U72" s="199">
        <v>10000</v>
      </c>
      <c r="V72" s="334">
        <v>0</v>
      </c>
      <c r="W72" s="208">
        <f>U72-V72</f>
        <v>10000</v>
      </c>
      <c r="X72" s="477">
        <v>10000</v>
      </c>
      <c r="Y72" s="476"/>
      <c r="Z72" s="477">
        <v>10000</v>
      </c>
      <c r="AA72" s="478"/>
      <c r="AB72" s="2" t="s">
        <v>261</v>
      </c>
    </row>
    <row r="73" spans="1:30" s="1" customFormat="1" ht="16.5" thickBot="1" x14ac:dyDescent="0.3">
      <c r="D73" s="13"/>
      <c r="E73" s="13"/>
      <c r="F73" s="13"/>
      <c r="G73" s="13"/>
      <c r="H73" s="13"/>
      <c r="I73" s="13"/>
      <c r="J73" s="194"/>
      <c r="K73" s="13"/>
      <c r="L73" s="13"/>
      <c r="M73" s="13"/>
      <c r="N73" s="13"/>
      <c r="O73" s="13"/>
      <c r="P73" s="322" t="s">
        <v>324</v>
      </c>
      <c r="Q73" s="35"/>
      <c r="R73" s="491"/>
      <c r="S73" s="491"/>
      <c r="T73" s="491">
        <f>SUM(T69:T72)</f>
        <v>14587</v>
      </c>
      <c r="U73" s="491">
        <f>SUM(U69:U72)</f>
        <v>10000</v>
      </c>
      <c r="V73" s="493">
        <f>SUM(V65:V72)</f>
        <v>25016.18</v>
      </c>
      <c r="W73" s="491">
        <f>SUM(W69:W72)</f>
        <v>10000</v>
      </c>
      <c r="X73" s="490">
        <v>10000</v>
      </c>
      <c r="Y73" s="491">
        <f>SUM(Y66:Y72)</f>
        <v>0</v>
      </c>
      <c r="Z73" s="490">
        <f>SUM(Z66:Z72)</f>
        <v>10000</v>
      </c>
      <c r="AA73" s="492">
        <f>SUM(AA66:AA72)</f>
        <v>5718.5499999999993</v>
      </c>
      <c r="AB73" s="2"/>
    </row>
    <row r="74" spans="1:30" s="1" customFormat="1" ht="15.75" x14ac:dyDescent="0.25">
      <c r="D74" s="13"/>
      <c r="E74" s="13"/>
      <c r="F74" s="13"/>
      <c r="G74" s="13"/>
      <c r="H74" s="13"/>
      <c r="I74" s="13"/>
      <c r="J74" s="194"/>
      <c r="K74" s="13"/>
      <c r="L74" s="13"/>
      <c r="M74" s="13"/>
      <c r="N74" s="13"/>
      <c r="O74" s="13"/>
      <c r="P74" s="10" t="s">
        <v>286</v>
      </c>
      <c r="Q74" s="4" t="s">
        <v>287</v>
      </c>
      <c r="R74" s="39"/>
      <c r="S74" s="39"/>
      <c r="T74" s="39"/>
      <c r="U74" s="16"/>
      <c r="V74" s="335"/>
      <c r="W74" s="209"/>
      <c r="X74" s="370"/>
      <c r="Y74" s="209"/>
      <c r="Z74" s="370"/>
      <c r="AA74" s="416"/>
    </row>
    <row r="75" spans="1:30" s="1" customFormat="1" ht="15.75" x14ac:dyDescent="0.25">
      <c r="D75" s="13"/>
      <c r="E75" s="13"/>
      <c r="F75" s="13"/>
      <c r="G75" s="13"/>
      <c r="H75" s="13"/>
      <c r="I75" s="13"/>
      <c r="J75" s="194"/>
      <c r="K75" s="13"/>
      <c r="L75" s="13"/>
      <c r="M75" s="13"/>
      <c r="N75" s="13"/>
      <c r="O75" s="13"/>
      <c r="P75" s="11" t="s">
        <v>118</v>
      </c>
      <c r="Q75" s="12" t="s">
        <v>288</v>
      </c>
      <c r="R75" s="39">
        <v>6</v>
      </c>
      <c r="S75" s="39">
        <v>35000</v>
      </c>
      <c r="T75" s="39">
        <v>410</v>
      </c>
      <c r="U75" s="39">
        <v>14000</v>
      </c>
      <c r="V75" s="335">
        <v>4610</v>
      </c>
      <c r="W75" s="209">
        <v>5200</v>
      </c>
      <c r="X75" s="484">
        <v>5200</v>
      </c>
      <c r="Y75" s="486"/>
      <c r="Z75" s="484">
        <f>X75+Y75</f>
        <v>5200</v>
      </c>
      <c r="AA75" s="485">
        <v>630</v>
      </c>
      <c r="AB75" s="19"/>
    </row>
    <row r="76" spans="1:30" ht="15.75" x14ac:dyDescent="0.25">
      <c r="A76" s="1"/>
      <c r="B76" s="1"/>
      <c r="C76" s="1"/>
      <c r="D76" s="13"/>
      <c r="E76" s="13"/>
      <c r="F76" s="13"/>
      <c r="G76" s="13"/>
      <c r="H76" s="13"/>
      <c r="I76" s="13"/>
      <c r="J76" s="194"/>
      <c r="K76" s="13"/>
      <c r="L76" s="13"/>
      <c r="M76" s="13"/>
      <c r="N76" s="13"/>
      <c r="O76" s="13"/>
      <c r="P76" s="11" t="s">
        <v>119</v>
      </c>
      <c r="Q76" s="12" t="s">
        <v>249</v>
      </c>
      <c r="R76" s="39">
        <v>-520</v>
      </c>
      <c r="S76" s="39">
        <v>0</v>
      </c>
      <c r="T76" s="39">
        <v>7695</v>
      </c>
      <c r="U76" s="16">
        <v>21000</v>
      </c>
      <c r="V76" s="335">
        <v>17560</v>
      </c>
      <c r="W76" s="226">
        <v>24000</v>
      </c>
      <c r="X76" s="484">
        <v>24000</v>
      </c>
      <c r="Y76" s="486">
        <v>20000</v>
      </c>
      <c r="Z76" s="484">
        <f t="shared" ref="Z76:Z81" si="11">X76+Y76</f>
        <v>44000</v>
      </c>
      <c r="AA76" s="485">
        <v>11511.21</v>
      </c>
      <c r="AB76" s="19"/>
      <c r="AC76" s="2"/>
      <c r="AD76" s="1"/>
    </row>
    <row r="77" spans="1:30" ht="15.75" x14ac:dyDescent="0.25">
      <c r="A77" s="1"/>
      <c r="B77" s="1"/>
      <c r="C77" s="1"/>
      <c r="D77" s="13"/>
      <c r="E77" s="13"/>
      <c r="F77" s="13"/>
      <c r="G77" s="13"/>
      <c r="H77" s="13"/>
      <c r="I77" s="13"/>
      <c r="J77" s="194"/>
      <c r="K77" s="13"/>
      <c r="L77" s="13"/>
      <c r="M77" s="13"/>
      <c r="N77" s="13"/>
      <c r="O77" s="13"/>
      <c r="P77" s="14" t="s">
        <v>120</v>
      </c>
      <c r="Q77" s="15" t="s">
        <v>15</v>
      </c>
      <c r="R77" s="39">
        <v>65.75</v>
      </c>
      <c r="S77" s="39">
        <v>1500</v>
      </c>
      <c r="T77" s="39">
        <v>973</v>
      </c>
      <c r="U77" s="16">
        <v>1000</v>
      </c>
      <c r="V77" s="335">
        <v>702.72</v>
      </c>
      <c r="W77" s="209">
        <v>500</v>
      </c>
      <c r="X77" s="484">
        <v>500</v>
      </c>
      <c r="Y77" s="486"/>
      <c r="Z77" s="484">
        <f t="shared" si="11"/>
        <v>500</v>
      </c>
      <c r="AA77" s="485">
        <v>322.49</v>
      </c>
      <c r="AB77" s="1"/>
      <c r="AC77" s="2"/>
      <c r="AD77" s="1"/>
    </row>
    <row r="78" spans="1:30" ht="15.75" x14ac:dyDescent="0.25">
      <c r="A78" s="1"/>
      <c r="B78" s="1"/>
      <c r="C78" s="1"/>
      <c r="D78" s="13"/>
      <c r="E78" s="13"/>
      <c r="F78" s="13"/>
      <c r="G78" s="13"/>
      <c r="H78" s="13"/>
      <c r="I78" s="13"/>
      <c r="J78" s="194"/>
      <c r="K78" s="13"/>
      <c r="L78" s="13"/>
      <c r="M78" s="13"/>
      <c r="N78" s="13"/>
      <c r="O78" s="13"/>
      <c r="P78" s="14" t="s">
        <v>121</v>
      </c>
      <c r="Q78" s="15" t="s">
        <v>263</v>
      </c>
      <c r="R78" s="39">
        <v>11869.46</v>
      </c>
      <c r="S78" s="39">
        <v>10000</v>
      </c>
      <c r="T78" s="39">
        <v>42108.22</v>
      </c>
      <c r="U78" s="16">
        <v>30000</v>
      </c>
      <c r="V78" s="335">
        <v>5696.5</v>
      </c>
      <c r="W78" s="209">
        <f>U78-V78</f>
        <v>24303.5</v>
      </c>
      <c r="X78" s="484">
        <v>24303.5</v>
      </c>
      <c r="Y78" s="486"/>
      <c r="Z78" s="484">
        <f t="shared" si="11"/>
        <v>24303.5</v>
      </c>
      <c r="AA78" s="485">
        <v>9492.6200000000008</v>
      </c>
      <c r="AB78" s="1" t="s">
        <v>334</v>
      </c>
      <c r="AC78" s="1"/>
      <c r="AD78" s="1"/>
    </row>
    <row r="79" spans="1:30" ht="15.75" x14ac:dyDescent="0.25">
      <c r="A79" s="1"/>
      <c r="B79" s="1"/>
      <c r="C79" s="1"/>
      <c r="D79" s="13"/>
      <c r="E79" s="13"/>
      <c r="F79" s="13"/>
      <c r="G79" s="13"/>
      <c r="H79" s="13"/>
      <c r="I79" s="13"/>
      <c r="J79" s="194"/>
      <c r="K79" s="13"/>
      <c r="L79" s="13"/>
      <c r="M79" s="13"/>
      <c r="N79" s="13"/>
      <c r="O79" s="13"/>
      <c r="P79" s="14" t="s">
        <v>122</v>
      </c>
      <c r="Q79" s="15" t="s">
        <v>123</v>
      </c>
      <c r="R79" s="39">
        <v>40</v>
      </c>
      <c r="S79" s="39">
        <v>1500</v>
      </c>
      <c r="T79" s="39">
        <v>0</v>
      </c>
      <c r="U79" s="16">
        <v>3000</v>
      </c>
      <c r="V79" s="335">
        <v>1350</v>
      </c>
      <c r="W79" s="209">
        <v>1000</v>
      </c>
      <c r="X79" s="484">
        <v>1000</v>
      </c>
      <c r="Y79" s="486"/>
      <c r="Z79" s="484">
        <f t="shared" si="11"/>
        <v>1000</v>
      </c>
      <c r="AA79" s="485"/>
      <c r="AB79" s="1"/>
      <c r="AC79" s="1"/>
    </row>
    <row r="80" spans="1:30" ht="15.75" x14ac:dyDescent="0.25">
      <c r="A80" s="1"/>
      <c r="B80" s="1"/>
      <c r="C80" s="1"/>
      <c r="D80" s="13"/>
      <c r="E80" s="13"/>
      <c r="F80" s="13"/>
      <c r="G80" s="13"/>
      <c r="H80" s="13"/>
      <c r="I80" s="13"/>
      <c r="J80" s="194"/>
      <c r="K80" s="13"/>
      <c r="L80" s="13"/>
      <c r="M80" s="13"/>
      <c r="N80" s="13"/>
      <c r="O80" s="13"/>
      <c r="P80" s="14" t="s">
        <v>124</v>
      </c>
      <c r="Q80" s="15" t="s">
        <v>22</v>
      </c>
      <c r="R80" s="39">
        <v>1028.0999999999999</v>
      </c>
      <c r="S80" s="39">
        <v>1500</v>
      </c>
      <c r="T80" s="39">
        <v>273.14999999999998</v>
      </c>
      <c r="U80" s="16">
        <v>2500</v>
      </c>
      <c r="V80" s="335">
        <v>161.25</v>
      </c>
      <c r="W80" s="209">
        <f>U80-V80</f>
        <v>2338.75</v>
      </c>
      <c r="X80" s="484">
        <v>2338.75</v>
      </c>
      <c r="Y80" s="486"/>
      <c r="Z80" s="484">
        <f t="shared" si="11"/>
        <v>2338.75</v>
      </c>
      <c r="AA80" s="485"/>
      <c r="AB80" s="1"/>
      <c r="AC80" s="1"/>
    </row>
    <row r="81" spans="1:29" ht="15.75" x14ac:dyDescent="0.25">
      <c r="A81" s="1"/>
      <c r="B81" s="1"/>
      <c r="C81" s="1"/>
      <c r="D81" s="13"/>
      <c r="E81" s="13"/>
      <c r="F81" s="13"/>
      <c r="G81" s="13"/>
      <c r="H81" s="13"/>
      <c r="I81" s="13"/>
      <c r="J81" s="194"/>
      <c r="K81" s="13"/>
      <c r="L81" s="13"/>
      <c r="M81" s="13"/>
      <c r="N81" s="13"/>
      <c r="O81" s="13"/>
      <c r="P81" s="198" t="s">
        <v>312</v>
      </c>
      <c r="Q81" s="40" t="s">
        <v>313</v>
      </c>
      <c r="R81" s="199">
        <v>1028.0999999999999</v>
      </c>
      <c r="S81" s="199">
        <v>1500</v>
      </c>
      <c r="T81" s="199">
        <v>0</v>
      </c>
      <c r="U81" s="199">
        <v>0</v>
      </c>
      <c r="V81" s="335">
        <v>1750</v>
      </c>
      <c r="W81" s="208">
        <v>0</v>
      </c>
      <c r="X81" s="477">
        <v>0</v>
      </c>
      <c r="Y81" s="476"/>
      <c r="Z81" s="484">
        <f t="shared" si="11"/>
        <v>0</v>
      </c>
      <c r="AA81" s="478"/>
      <c r="AB81" s="1"/>
      <c r="AC81" s="1"/>
    </row>
    <row r="82" spans="1:29" ht="19.5" thickBot="1" x14ac:dyDescent="0.35">
      <c r="I82" s="13"/>
      <c r="J82" s="194"/>
      <c r="K82" s="13"/>
      <c r="L82" s="13"/>
      <c r="M82" s="13"/>
      <c r="N82" s="13"/>
      <c r="O82" s="13"/>
      <c r="P82" s="322" t="s">
        <v>324</v>
      </c>
      <c r="Q82" s="35"/>
      <c r="R82" s="491"/>
      <c r="S82" s="491"/>
      <c r="T82" s="491">
        <f>SUM(T75:T81)</f>
        <v>51459.37</v>
      </c>
      <c r="U82" s="491">
        <f>SUM(U75:U81)</f>
        <v>71500</v>
      </c>
      <c r="V82" s="493">
        <f>SUM(V75:V81)</f>
        <v>31830.47</v>
      </c>
      <c r="W82" s="491">
        <f>SUM(W75:W81)</f>
        <v>57342.25</v>
      </c>
      <c r="X82" s="490">
        <v>57342.25</v>
      </c>
      <c r="Y82" s="491">
        <f>SUM(Y75:Y81)</f>
        <v>20000</v>
      </c>
      <c r="Z82" s="490">
        <f>SUM(Z75:Z81)</f>
        <v>77342.25</v>
      </c>
      <c r="AA82" s="492">
        <f>SUM(AA75:AA81)</f>
        <v>21956.32</v>
      </c>
      <c r="AB82" s="1"/>
      <c r="AC82" s="1"/>
    </row>
    <row r="83" spans="1:29" ht="19.5" thickBot="1" x14ac:dyDescent="0.35">
      <c r="L83" s="21"/>
      <c r="M83" s="21"/>
      <c r="N83" s="21"/>
      <c r="O83" s="21"/>
      <c r="P83" s="200" t="s">
        <v>289</v>
      </c>
      <c r="Q83" s="35" t="s">
        <v>207</v>
      </c>
      <c r="R83" s="491">
        <v>50000</v>
      </c>
      <c r="S83" s="491">
        <v>0</v>
      </c>
      <c r="T83" s="491">
        <v>0</v>
      </c>
      <c r="U83" s="491">
        <v>5000</v>
      </c>
      <c r="V83" s="493">
        <v>7093.73</v>
      </c>
      <c r="W83" s="491">
        <v>10000</v>
      </c>
      <c r="X83" s="490">
        <v>10000</v>
      </c>
      <c r="Y83" s="519"/>
      <c r="Z83" s="490">
        <v>10000</v>
      </c>
      <c r="AA83" s="492">
        <v>21406.69</v>
      </c>
      <c r="AB83" s="1"/>
      <c r="AC83" s="1"/>
    </row>
    <row r="84" spans="1:29" x14ac:dyDescent="0.3">
      <c r="L84" s="21"/>
      <c r="M84" s="21"/>
      <c r="N84" s="21"/>
      <c r="O84" s="21"/>
      <c r="P84" s="317" t="s">
        <v>127</v>
      </c>
      <c r="Q84" s="4" t="s">
        <v>128</v>
      </c>
      <c r="R84" s="318"/>
      <c r="S84" s="318"/>
      <c r="T84" s="318">
        <v>0</v>
      </c>
      <c r="U84" s="319"/>
      <c r="V84" s="339"/>
      <c r="W84" s="320"/>
      <c r="X84" s="371"/>
      <c r="Y84" s="320"/>
      <c r="Z84" s="371"/>
      <c r="AA84" s="417"/>
      <c r="AB84" s="1"/>
      <c r="AC84" s="1"/>
    </row>
    <row r="85" spans="1:29" x14ac:dyDescent="0.3">
      <c r="L85" s="21"/>
      <c r="M85" s="21"/>
      <c r="N85" s="21"/>
      <c r="O85" s="21"/>
      <c r="P85" s="4" t="s">
        <v>320</v>
      </c>
      <c r="Q85" s="4" t="s">
        <v>323</v>
      </c>
      <c r="R85" s="314">
        <v>2000</v>
      </c>
      <c r="S85" s="314">
        <v>15000</v>
      </c>
      <c r="T85" s="314">
        <f>20332.19+1500+1000</f>
        <v>22832.19</v>
      </c>
      <c r="U85" s="315">
        <v>55000</v>
      </c>
      <c r="V85" s="341">
        <v>25000</v>
      </c>
      <c r="W85" s="316">
        <v>60000</v>
      </c>
      <c r="X85" s="372">
        <v>60000</v>
      </c>
      <c r="Y85" s="316"/>
      <c r="Z85" s="372">
        <v>60000</v>
      </c>
      <c r="AA85" s="418">
        <v>60000</v>
      </c>
      <c r="AB85" s="1"/>
      <c r="AC85" s="1"/>
    </row>
    <row r="86" spans="1:29" x14ac:dyDescent="0.3">
      <c r="L86" s="21"/>
      <c r="M86" s="21"/>
      <c r="N86" s="21"/>
      <c r="O86" s="21"/>
      <c r="P86" s="4" t="s">
        <v>321</v>
      </c>
      <c r="Q86" s="4" t="s">
        <v>103</v>
      </c>
      <c r="R86" s="314"/>
      <c r="S86" s="314"/>
      <c r="T86" s="314">
        <v>0</v>
      </c>
      <c r="U86" s="315">
        <v>0</v>
      </c>
      <c r="V86" s="341">
        <v>231</v>
      </c>
      <c r="W86" s="316">
        <v>0</v>
      </c>
      <c r="X86" s="372">
        <v>0</v>
      </c>
      <c r="Y86" s="316"/>
      <c r="Z86" s="372">
        <v>0</v>
      </c>
      <c r="AA86" s="418"/>
      <c r="AB86" s="1"/>
      <c r="AC86" s="1"/>
    </row>
    <row r="87" spans="1:29" x14ac:dyDescent="0.3">
      <c r="L87" s="21"/>
      <c r="M87" s="21"/>
      <c r="N87" s="21"/>
      <c r="O87" s="21"/>
      <c r="P87" s="201"/>
      <c r="Q87" s="202" t="s">
        <v>250</v>
      </c>
      <c r="R87" s="203"/>
      <c r="S87" s="203"/>
      <c r="T87" s="203">
        <v>0</v>
      </c>
      <c r="U87" s="204"/>
      <c r="V87" s="341">
        <v>29379.83</v>
      </c>
      <c r="W87" s="225">
        <v>150000</v>
      </c>
      <c r="X87" s="373">
        <v>150000</v>
      </c>
      <c r="Y87" s="225"/>
      <c r="Z87" s="373">
        <v>150000</v>
      </c>
      <c r="AA87" s="419"/>
      <c r="AB87" s="1"/>
    </row>
    <row r="88" spans="1:29" ht="19.5" thickBot="1" x14ac:dyDescent="0.35">
      <c r="L88" s="21"/>
      <c r="M88" s="21"/>
      <c r="N88" s="21"/>
      <c r="O88" s="21"/>
      <c r="P88" s="322" t="s">
        <v>324</v>
      </c>
      <c r="Q88" s="35"/>
      <c r="R88" s="491"/>
      <c r="S88" s="491"/>
      <c r="T88" s="491">
        <f>SUM(T84:T87)</f>
        <v>22832.19</v>
      </c>
      <c r="U88" s="491">
        <f>SUM(U84:U87)</f>
        <v>55000</v>
      </c>
      <c r="V88" s="493">
        <f>SUM(V84:V87)</f>
        <v>54610.83</v>
      </c>
      <c r="W88" s="491">
        <f>SUM(W84:W87)</f>
        <v>210000</v>
      </c>
      <c r="X88" s="490">
        <v>210000</v>
      </c>
      <c r="Y88" s="491">
        <f>SUM(Y85:Y87)</f>
        <v>0</v>
      </c>
      <c r="Z88" s="490">
        <f>SUM(Z85:Z87)</f>
        <v>210000</v>
      </c>
      <c r="AA88" s="492">
        <f>SUM(AA85:AA87)</f>
        <v>60000</v>
      </c>
      <c r="AB88" s="1"/>
    </row>
    <row r="89" spans="1:29" ht="22.5" customHeight="1" x14ac:dyDescent="0.3">
      <c r="L89" s="21"/>
      <c r="M89" s="21"/>
      <c r="N89" s="21"/>
      <c r="O89" s="21"/>
      <c r="P89" s="10" t="s">
        <v>129</v>
      </c>
      <c r="Q89" s="4" t="s">
        <v>322</v>
      </c>
      <c r="R89" s="100">
        <v>0</v>
      </c>
      <c r="S89" s="100">
        <v>0</v>
      </c>
      <c r="T89" s="100"/>
      <c r="U89" s="25"/>
      <c r="V89" s="333"/>
      <c r="W89" s="224"/>
      <c r="X89" s="369"/>
      <c r="Y89" s="224"/>
      <c r="Z89" s="369"/>
      <c r="AA89" s="415"/>
      <c r="AB89" s="1"/>
    </row>
    <row r="90" spans="1:29" x14ac:dyDescent="0.3">
      <c r="L90" s="21"/>
      <c r="M90" s="21"/>
      <c r="N90" s="21"/>
      <c r="O90" s="21"/>
      <c r="P90" s="11" t="s">
        <v>130</v>
      </c>
      <c r="Q90" s="12" t="s">
        <v>131</v>
      </c>
      <c r="R90" s="100">
        <v>5659.23</v>
      </c>
      <c r="S90" s="100">
        <v>7000</v>
      </c>
      <c r="T90" s="100">
        <v>6452.49</v>
      </c>
      <c r="U90" s="25">
        <v>7500</v>
      </c>
      <c r="V90" s="333">
        <v>4541.03</v>
      </c>
      <c r="W90" s="224">
        <v>5000</v>
      </c>
      <c r="X90" s="369">
        <v>5000</v>
      </c>
      <c r="Y90" s="224"/>
      <c r="Z90" s="369">
        <v>5000</v>
      </c>
      <c r="AA90" s="415">
        <v>3323.78</v>
      </c>
      <c r="AB90" s="1"/>
    </row>
    <row r="91" spans="1:29" x14ac:dyDescent="0.3">
      <c r="L91" s="21"/>
      <c r="M91" s="21"/>
      <c r="N91" s="21"/>
      <c r="O91" s="21"/>
      <c r="P91" s="11" t="s">
        <v>132</v>
      </c>
      <c r="Q91" s="12" t="s">
        <v>133</v>
      </c>
      <c r="R91" s="100">
        <v>9656.42</v>
      </c>
      <c r="S91" s="100">
        <v>23000</v>
      </c>
      <c r="T91" s="100">
        <f>20374.75-10070</f>
        <v>10304.75</v>
      </c>
      <c r="U91" s="100">
        <v>23000</v>
      </c>
      <c r="V91" s="342">
        <v>21431</v>
      </c>
      <c r="W91" s="358">
        <v>12000</v>
      </c>
      <c r="X91" s="369">
        <v>12000</v>
      </c>
      <c r="Y91" s="224"/>
      <c r="Z91" s="369">
        <v>12000</v>
      </c>
      <c r="AA91" s="415">
        <v>25864</v>
      </c>
      <c r="AB91" s="1" t="s">
        <v>295</v>
      </c>
    </row>
    <row r="92" spans="1:29" x14ac:dyDescent="0.3">
      <c r="L92" s="21"/>
      <c r="M92" s="21"/>
      <c r="N92" s="21"/>
      <c r="O92" s="21"/>
      <c r="P92" s="11" t="s">
        <v>134</v>
      </c>
      <c r="Q92" s="12" t="s">
        <v>135</v>
      </c>
      <c r="R92" s="100">
        <v>0</v>
      </c>
      <c r="S92" s="100">
        <v>2500</v>
      </c>
      <c r="T92" s="100">
        <v>0</v>
      </c>
      <c r="U92" s="100">
        <v>0</v>
      </c>
      <c r="V92" s="333">
        <v>0</v>
      </c>
      <c r="W92" s="224">
        <v>0</v>
      </c>
      <c r="X92" s="369">
        <v>0</v>
      </c>
      <c r="Y92" s="224"/>
      <c r="Z92" s="369">
        <v>0</v>
      </c>
      <c r="AA92" s="415"/>
      <c r="AB92" s="1"/>
    </row>
    <row r="93" spans="1:29" ht="19.5" thickBot="1" x14ac:dyDescent="0.35">
      <c r="L93" s="21"/>
      <c r="M93" s="21"/>
      <c r="N93" s="21"/>
      <c r="O93" s="21"/>
      <c r="P93" s="322" t="s">
        <v>324</v>
      </c>
      <c r="Q93" s="35"/>
      <c r="R93" s="491"/>
      <c r="S93" s="491"/>
      <c r="T93" s="491">
        <f>SUM(T89:T92)</f>
        <v>16757.239999999998</v>
      </c>
      <c r="U93" s="491">
        <f>SUM(U89:U92)</f>
        <v>30500</v>
      </c>
      <c r="V93" s="493">
        <f>SUM(V89:V92)</f>
        <v>25972.03</v>
      </c>
      <c r="W93" s="491">
        <f>SUM(W89:W92)</f>
        <v>17000</v>
      </c>
      <c r="X93" s="490">
        <v>17000</v>
      </c>
      <c r="Y93" s="491">
        <f>SUM(Y90:Y92)</f>
        <v>0</v>
      </c>
      <c r="Z93" s="490">
        <f>SUM(Z90:Z92)</f>
        <v>17000</v>
      </c>
      <c r="AA93" s="492">
        <f>SUM(AA90:AA92)</f>
        <v>29187.78</v>
      </c>
      <c r="AB93" s="1"/>
    </row>
    <row r="94" spans="1:29" ht="19.5" thickBot="1" x14ac:dyDescent="0.35">
      <c r="L94" s="21"/>
      <c r="M94" s="21"/>
      <c r="N94" s="21"/>
      <c r="O94" s="21"/>
      <c r="P94" s="321" t="s">
        <v>136</v>
      </c>
      <c r="Q94" s="35" t="s">
        <v>137</v>
      </c>
      <c r="R94" s="491">
        <v>-2000</v>
      </c>
      <c r="S94" s="491">
        <v>0</v>
      </c>
      <c r="T94" s="491">
        <f>-75+50</f>
        <v>-25</v>
      </c>
      <c r="U94" s="491">
        <v>0</v>
      </c>
      <c r="V94" s="493">
        <v>155</v>
      </c>
      <c r="W94" s="491">
        <v>0</v>
      </c>
      <c r="X94" s="490">
        <v>0</v>
      </c>
      <c r="Y94" s="519"/>
      <c r="Z94" s="490">
        <v>0</v>
      </c>
      <c r="AA94" s="492">
        <v>50</v>
      </c>
      <c r="AB94" s="1"/>
    </row>
    <row r="95" spans="1:29" ht="19.5" thickBot="1" x14ac:dyDescent="0.35">
      <c r="L95" s="21"/>
      <c r="M95" s="21"/>
      <c r="N95" s="21"/>
      <c r="O95" s="21"/>
      <c r="P95" s="10" t="s">
        <v>138</v>
      </c>
      <c r="Q95" s="35" t="s">
        <v>139</v>
      </c>
      <c r="R95" s="491">
        <v>1350.12</v>
      </c>
      <c r="S95" s="491">
        <v>1500</v>
      </c>
      <c r="T95" s="491">
        <v>25.63</v>
      </c>
      <c r="U95" s="491">
        <v>1500</v>
      </c>
      <c r="V95" s="493">
        <v>22.84</v>
      </c>
      <c r="W95" s="491">
        <v>0</v>
      </c>
      <c r="X95" s="490">
        <v>0</v>
      </c>
      <c r="Y95" s="519"/>
      <c r="Z95" s="490">
        <v>0</v>
      </c>
      <c r="AA95" s="492">
        <v>102.37</v>
      </c>
      <c r="AB95" s="1"/>
    </row>
    <row r="96" spans="1:29" ht="33" thickBot="1" x14ac:dyDescent="0.35">
      <c r="L96" s="21"/>
      <c r="M96" s="21"/>
      <c r="N96" s="21"/>
      <c r="O96" s="21"/>
      <c r="P96" s="325" t="s">
        <v>140</v>
      </c>
      <c r="Q96" s="326"/>
      <c r="R96" s="327">
        <f>SUM(R3:R95)</f>
        <v>239821.20000000004</v>
      </c>
      <c r="S96" s="328">
        <f>SUM(S3:S95)</f>
        <v>348516</v>
      </c>
      <c r="T96" s="328">
        <f>T11+T17+T22+T27+T34+T39+T47+T56+T64+T73+T82+T83+T88+T93+T94+T95</f>
        <v>269172.99</v>
      </c>
      <c r="U96" s="328">
        <f>U11+U17+U22+U27+U34+U39+U47+U56+U64+U73+U82+U83+U88+U93+U94+U95</f>
        <v>406803</v>
      </c>
      <c r="V96" s="328">
        <f>V11+V17+V22+V27+V34+V39+V47+V56+V64+V73+V82+V83+V88+V93+V94+V95</f>
        <v>339958.24000000005</v>
      </c>
      <c r="W96" s="328">
        <f>SUM(W11,W17,W22,W27,W34,W39,W47,W56,W64,W73,W82,W83,W88,W93,W94, W95)</f>
        <v>566957.25</v>
      </c>
      <c r="X96" s="374">
        <f>SUM(X11,X17,X22,X27,X34,X39,X47,X56,X64,X73,X82,X83,X88,X93,X94, X95)</f>
        <v>566957.25</v>
      </c>
      <c r="Y96" s="494">
        <f>SUM(Y11,Y17,Y22,Y27,Y34,Y39,Y47,Y56,Y64,Y73,Y82,Y83,Y88,Y93,Y94, Y95)</f>
        <v>67100</v>
      </c>
      <c r="Z96" s="374">
        <f>SUM(Z11,Z17,Z22,Z27,Z34,Z39,Z47,Z56,Z64,Z73,Z82,Z83,Z88,Z93,Z94, Z95)</f>
        <v>634057.25</v>
      </c>
      <c r="AA96" s="420">
        <f>SUM(AA11,AA17,AA22,AA27,AA34,AA39,AA47,AA56,AA64,AA73,AA82,AA83,AA88,AA93,AA94, AA95)</f>
        <v>282116.20999999996</v>
      </c>
      <c r="AB96" s="1"/>
    </row>
    <row r="97" spans="12:29" ht="19.5" thickTop="1" x14ac:dyDescent="0.3">
      <c r="L97" s="21"/>
      <c r="M97" s="21"/>
      <c r="N97" s="21"/>
      <c r="O97" s="21"/>
      <c r="P97" s="1"/>
      <c r="Q97" s="1"/>
      <c r="R97" s="39"/>
      <c r="S97" s="39"/>
      <c r="T97" s="39"/>
      <c r="U97" s="324"/>
      <c r="V97" s="336"/>
      <c r="W97" s="324"/>
      <c r="X97" s="375"/>
      <c r="Y97" s="324"/>
      <c r="Z97" s="375"/>
      <c r="AA97" s="375"/>
      <c r="AC97" t="s">
        <v>335</v>
      </c>
    </row>
    <row r="98" spans="12:29" x14ac:dyDescent="0.3">
      <c r="L98" s="21"/>
      <c r="M98" s="21"/>
      <c r="N98" s="21"/>
      <c r="O98" s="21"/>
      <c r="P98" s="1"/>
      <c r="Q98" s="1"/>
      <c r="R98" s="39"/>
      <c r="S98" s="39"/>
      <c r="T98" s="39"/>
      <c r="U98" s="113"/>
      <c r="V98" s="337"/>
      <c r="W98" s="113"/>
      <c r="X98" s="376"/>
      <c r="Y98" s="113"/>
      <c r="Z98" s="376"/>
      <c r="AA98" s="376"/>
    </row>
    <row r="99" spans="12:29" x14ac:dyDescent="0.3">
      <c r="L99" s="21"/>
      <c r="M99" s="21"/>
      <c r="N99" s="21"/>
      <c r="O99" s="21"/>
      <c r="P99" s="15"/>
      <c r="Q99" s="15"/>
      <c r="R99" s="39"/>
      <c r="S99" s="39"/>
      <c r="T99" s="39"/>
      <c r="U99" s="113"/>
      <c r="V99" s="337"/>
      <c r="W99" s="113"/>
      <c r="X99" s="376"/>
      <c r="Y99" s="113"/>
      <c r="Z99" s="376"/>
      <c r="AA99" s="376"/>
    </row>
    <row r="100" spans="12:29" x14ac:dyDescent="0.3">
      <c r="L100" s="21"/>
      <c r="M100" s="21"/>
      <c r="N100" s="21"/>
      <c r="O100" s="21"/>
    </row>
    <row r="101" spans="12:29" x14ac:dyDescent="0.3">
      <c r="L101" s="21"/>
      <c r="M101" s="21"/>
      <c r="N101" s="21"/>
      <c r="O101" s="21"/>
    </row>
  </sheetData>
  <mergeCells count="22">
    <mergeCell ref="A2:C2"/>
    <mergeCell ref="B36:C36"/>
    <mergeCell ref="A1:B1"/>
    <mergeCell ref="P1:Q1"/>
    <mergeCell ref="B19:C19"/>
    <mergeCell ref="B20:C20"/>
    <mergeCell ref="B3:C3"/>
    <mergeCell ref="B4:C4"/>
    <mergeCell ref="B5:C5"/>
    <mergeCell ref="B6:C6"/>
    <mergeCell ref="B7:C7"/>
    <mergeCell ref="B8:C8"/>
    <mergeCell ref="B9:C9"/>
    <mergeCell ref="B11:C11"/>
    <mergeCell ref="B12:C12"/>
    <mergeCell ref="B34:C34"/>
    <mergeCell ref="B14:C14"/>
    <mergeCell ref="B16:C16"/>
    <mergeCell ref="B17:C17"/>
    <mergeCell ref="B18:C18"/>
    <mergeCell ref="B24:C24"/>
    <mergeCell ref="B23:C23"/>
  </mergeCells>
  <printOptions horizontalCentered="1" verticalCentered="1"/>
  <pageMargins left="0" right="0" top="0.5" bottom="0.25" header="0.3" footer="0"/>
  <pageSetup scale="83" orientation="portrait" r:id="rId1"/>
  <headerFooter>
    <oddHeader>&amp;C&amp;"-,Bold"&amp;12Homestead Township
General Fund Line Item Budget</oddHeader>
    <oddFooter>&amp;R&amp;D</oddFooter>
  </headerFooter>
  <rowBreaks count="1" manualBreakCount="1">
    <brk id="47" min="15" max="26" man="1"/>
  </rowBreaks>
  <colBreaks count="1" manualBreakCount="1">
    <brk id="15" max="9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M14"/>
  <sheetViews>
    <sheetView zoomScale="80" zoomScaleNormal="80" workbookViewId="0">
      <selection activeCell="L7" sqref="L7"/>
    </sheetView>
  </sheetViews>
  <sheetFormatPr defaultRowHeight="15" x14ac:dyDescent="0.25"/>
  <cols>
    <col min="1" max="1" width="12.7109375" bestFit="1" customWidth="1"/>
    <col min="2" max="2" width="22.85546875" customWidth="1"/>
    <col min="3" max="3" width="15" style="120" hidden="1" customWidth="1"/>
    <col min="4" max="4" width="16.85546875" style="120" hidden="1" customWidth="1"/>
    <col min="5" max="5" width="15.42578125" style="112" hidden="1" customWidth="1"/>
    <col min="6" max="6" width="14.85546875" style="112" hidden="1" customWidth="1"/>
    <col min="7" max="7" width="14.85546875" style="305" hidden="1" customWidth="1"/>
    <col min="8" max="8" width="14.85546875" style="112" hidden="1" customWidth="1"/>
    <col min="9" max="12" width="14.85546875" style="385" customWidth="1"/>
    <col min="13" max="13" width="17.42578125" customWidth="1"/>
  </cols>
  <sheetData>
    <row r="1" spans="1:13" s="38" customFormat="1" ht="42.75" customHeight="1" thickBot="1" x14ac:dyDescent="0.35">
      <c r="A1" s="511" t="s">
        <v>0</v>
      </c>
      <c r="B1" s="512"/>
      <c r="C1" s="125" t="s">
        <v>141</v>
      </c>
      <c r="D1" s="121" t="s">
        <v>4</v>
      </c>
      <c r="E1" s="126" t="s">
        <v>5</v>
      </c>
      <c r="F1" s="176" t="s">
        <v>204</v>
      </c>
      <c r="G1" s="306" t="s">
        <v>245</v>
      </c>
      <c r="H1" s="311" t="s">
        <v>243</v>
      </c>
      <c r="I1" s="362" t="s">
        <v>337</v>
      </c>
      <c r="J1" s="223" t="s">
        <v>338</v>
      </c>
      <c r="K1" s="362" t="s">
        <v>339</v>
      </c>
      <c r="L1" s="409" t="s">
        <v>341</v>
      </c>
      <c r="M1" s="122" t="s">
        <v>143</v>
      </c>
    </row>
    <row r="2" spans="1:13" s="1" customFormat="1" ht="15.75" x14ac:dyDescent="0.25">
      <c r="A2" s="55"/>
      <c r="B2" s="61" t="s">
        <v>10</v>
      </c>
      <c r="C2" s="50">
        <v>168053.34</v>
      </c>
      <c r="D2" s="50">
        <f>C13</f>
        <v>164709</v>
      </c>
      <c r="E2" s="115">
        <v>164709.22</v>
      </c>
      <c r="F2" s="177">
        <v>153733.39000000001</v>
      </c>
      <c r="G2" s="269">
        <f>E13</f>
        <v>153733.39000000001</v>
      </c>
      <c r="H2" s="258">
        <f>G13</f>
        <v>147151.1</v>
      </c>
      <c r="I2" s="496">
        <v>147151.1</v>
      </c>
      <c r="J2" s="497"/>
      <c r="K2" s="378">
        <f>I2</f>
        <v>147151.1</v>
      </c>
      <c r="L2" s="421"/>
      <c r="M2" s="41"/>
    </row>
    <row r="3" spans="1:13" s="1" customFormat="1" ht="15.75" x14ac:dyDescent="0.25">
      <c r="A3" s="42"/>
      <c r="B3" s="15" t="s">
        <v>205</v>
      </c>
      <c r="C3" s="116">
        <v>50000</v>
      </c>
      <c r="D3" s="116">
        <v>0</v>
      </c>
      <c r="E3" s="117">
        <v>0</v>
      </c>
      <c r="F3" s="178">
        <v>5000</v>
      </c>
      <c r="G3" s="307">
        <v>0</v>
      </c>
      <c r="H3" s="312">
        <v>10000</v>
      </c>
      <c r="I3" s="379">
        <v>10000</v>
      </c>
      <c r="J3" s="312"/>
      <c r="K3" s="379">
        <v>10000</v>
      </c>
      <c r="L3" s="422">
        <v>10000</v>
      </c>
      <c r="M3" s="41"/>
    </row>
    <row r="4" spans="1:13" s="58" customFormat="1" ht="16.5" thickBot="1" x14ac:dyDescent="0.3">
      <c r="A4" s="513" t="s">
        <v>75</v>
      </c>
      <c r="B4" s="514"/>
      <c r="C4" s="74">
        <f>SUM(C2:C3)</f>
        <v>218053.34</v>
      </c>
      <c r="D4" s="74">
        <f>SUM(D2:D3)</f>
        <v>164709</v>
      </c>
      <c r="E4" s="71">
        <f>SUM(E2:E3)</f>
        <v>164709.22</v>
      </c>
      <c r="F4" s="179">
        <v>158733.39000000001</v>
      </c>
      <c r="G4" s="308">
        <f>SUM(G2:G3)</f>
        <v>153733.39000000001</v>
      </c>
      <c r="H4" s="260">
        <f>SUM(H2:H3)</f>
        <v>157151.1</v>
      </c>
      <c r="I4" s="380">
        <v>157151.1</v>
      </c>
      <c r="J4" s="260">
        <f>SUM(J2:J3)</f>
        <v>0</v>
      </c>
      <c r="K4" s="380">
        <f t="shared" ref="K4:L4" si="0">SUM(K2:K3)</f>
        <v>157151.1</v>
      </c>
      <c r="L4" s="423">
        <f t="shared" si="0"/>
        <v>10000</v>
      </c>
      <c r="M4" s="70"/>
    </row>
    <row r="5" spans="1:13" s="1" customFormat="1" ht="15.75" x14ac:dyDescent="0.25">
      <c r="A5" s="42" t="s">
        <v>150</v>
      </c>
      <c r="B5" s="18"/>
      <c r="C5" s="24"/>
      <c r="D5" s="24"/>
      <c r="E5" s="31"/>
      <c r="F5" s="180"/>
      <c r="G5" s="309"/>
      <c r="H5" s="259"/>
      <c r="I5" s="381"/>
      <c r="J5" s="259"/>
      <c r="K5" s="381"/>
      <c r="L5" s="424"/>
      <c r="M5" s="41"/>
    </row>
    <row r="6" spans="1:13" s="1" customFormat="1" ht="15.75" x14ac:dyDescent="0.25">
      <c r="A6" s="81" t="s">
        <v>206</v>
      </c>
      <c r="B6" s="51" t="s">
        <v>207</v>
      </c>
      <c r="C6" s="52">
        <f>29975+17886</f>
        <v>47861</v>
      </c>
      <c r="D6" s="52">
        <v>0</v>
      </c>
      <c r="E6" s="37">
        <v>0</v>
      </c>
      <c r="F6" s="163">
        <v>0</v>
      </c>
      <c r="G6" s="268">
        <v>0</v>
      </c>
      <c r="H6" s="253">
        <v>0</v>
      </c>
      <c r="I6" s="382">
        <v>0</v>
      </c>
      <c r="J6" s="253"/>
      <c r="K6" s="382"/>
      <c r="L6" s="425"/>
      <c r="M6" s="41"/>
    </row>
    <row r="7" spans="1:13" s="1" customFormat="1" ht="15.75" x14ac:dyDescent="0.25">
      <c r="A7" s="82" t="s">
        <v>208</v>
      </c>
      <c r="B7" s="5" t="s">
        <v>290</v>
      </c>
      <c r="C7" s="52">
        <f>5483.12</f>
        <v>5483.12</v>
      </c>
      <c r="D7" s="52">
        <v>0</v>
      </c>
      <c r="E7" s="37">
        <v>10966.24</v>
      </c>
      <c r="F7" s="163">
        <v>11000</v>
      </c>
      <c r="G7" s="268">
        <v>0</v>
      </c>
      <c r="H7" s="343">
        <v>20000</v>
      </c>
      <c r="I7" s="382">
        <v>20000</v>
      </c>
      <c r="J7" s="253"/>
      <c r="K7" s="382">
        <v>20000</v>
      </c>
      <c r="L7" s="425"/>
      <c r="M7" s="41" t="s">
        <v>327</v>
      </c>
    </row>
    <row r="8" spans="1:13" s="1" customFormat="1" ht="15.75" x14ac:dyDescent="0.25">
      <c r="A8" s="82"/>
      <c r="B8" s="5" t="s">
        <v>156</v>
      </c>
      <c r="C8" s="52"/>
      <c r="D8" s="52">
        <v>0</v>
      </c>
      <c r="E8" s="37">
        <v>9.59</v>
      </c>
      <c r="F8" s="164">
        <v>0</v>
      </c>
      <c r="G8" s="268">
        <v>0</v>
      </c>
      <c r="H8" s="253">
        <v>0</v>
      </c>
      <c r="I8" s="382">
        <v>0</v>
      </c>
      <c r="J8" s="253"/>
      <c r="K8" s="382"/>
      <c r="L8" s="425"/>
      <c r="M8" s="41"/>
    </row>
    <row r="9" spans="1:13" s="1" customFormat="1" ht="15.75" x14ac:dyDescent="0.25">
      <c r="A9" s="82" t="s">
        <v>208</v>
      </c>
      <c r="B9" s="40" t="s">
        <v>254</v>
      </c>
      <c r="C9" s="50">
        <v>0</v>
      </c>
      <c r="D9" s="50">
        <v>0</v>
      </c>
      <c r="E9" s="73">
        <v>0</v>
      </c>
      <c r="F9" s="165">
        <v>6500</v>
      </c>
      <c r="G9" s="268">
        <v>6582.29</v>
      </c>
      <c r="H9" s="258"/>
      <c r="I9" s="378"/>
      <c r="J9" s="258"/>
      <c r="K9" s="378"/>
      <c r="L9" s="421"/>
      <c r="M9" s="41"/>
    </row>
    <row r="10" spans="1:13" s="1" customFormat="1" ht="15.75" x14ac:dyDescent="0.25">
      <c r="A10" s="43" t="s">
        <v>291</v>
      </c>
      <c r="B10" s="2" t="s">
        <v>29</v>
      </c>
      <c r="C10" s="24"/>
      <c r="D10" s="24"/>
      <c r="E10" s="31">
        <v>0</v>
      </c>
      <c r="F10" s="171">
        <v>0</v>
      </c>
      <c r="G10" s="309">
        <v>0</v>
      </c>
      <c r="H10" s="259">
        <v>0</v>
      </c>
      <c r="I10" s="381">
        <v>0</v>
      </c>
      <c r="J10" s="259"/>
      <c r="K10" s="381"/>
      <c r="L10" s="424"/>
      <c r="M10" s="41"/>
    </row>
    <row r="11" spans="1:13" s="26" customFormat="1" ht="16.5" thickBot="1" x14ac:dyDescent="0.3">
      <c r="A11" s="54" t="s">
        <v>209</v>
      </c>
      <c r="B11" s="35"/>
      <c r="C11" s="71">
        <f>SUM(C6:C9)</f>
        <v>53344.12</v>
      </c>
      <c r="D11" s="71">
        <f>SUM(D6:D9)</f>
        <v>0</v>
      </c>
      <c r="E11" s="71">
        <f>SUM(E6:E10)</f>
        <v>10975.83</v>
      </c>
      <c r="F11" s="179">
        <v>17500</v>
      </c>
      <c r="G11" s="308">
        <f>SUM(G6:G10)</f>
        <v>6582.29</v>
      </c>
      <c r="H11" s="260">
        <f>SUM(H6:H10)</f>
        <v>20000</v>
      </c>
      <c r="I11" s="380">
        <v>20000</v>
      </c>
      <c r="J11" s="260">
        <f>SUM(J6:J10)</f>
        <v>0</v>
      </c>
      <c r="K11" s="380">
        <f t="shared" ref="K11:L11" si="1">SUM(K6:K10)</f>
        <v>20000</v>
      </c>
      <c r="L11" s="423">
        <f t="shared" si="1"/>
        <v>0</v>
      </c>
      <c r="M11" s="72"/>
    </row>
    <row r="12" spans="1:13" s="2" customFormat="1" ht="15.75" x14ac:dyDescent="0.25">
      <c r="A12" s="43"/>
      <c r="C12" s="24"/>
      <c r="D12" s="24"/>
      <c r="E12" s="31"/>
      <c r="F12" s="180"/>
      <c r="G12" s="309"/>
      <c r="H12" s="259"/>
      <c r="I12" s="381"/>
      <c r="J12" s="259"/>
      <c r="K12" s="381"/>
      <c r="L12" s="424"/>
      <c r="M12" s="44"/>
    </row>
    <row r="13" spans="1:13" s="26" customFormat="1" ht="16.5" thickBot="1" x14ac:dyDescent="0.3">
      <c r="A13" s="53" t="s">
        <v>210</v>
      </c>
      <c r="B13" s="28"/>
      <c r="C13" s="76">
        <v>164709</v>
      </c>
      <c r="D13" s="77">
        <f>D4-D11</f>
        <v>164709</v>
      </c>
      <c r="E13" s="77">
        <f>E4-E11</f>
        <v>153733.39000000001</v>
      </c>
      <c r="F13" s="181">
        <v>141233.39000000001</v>
      </c>
      <c r="G13" s="310">
        <f>G4-G11</f>
        <v>147151.1</v>
      </c>
      <c r="H13" s="313">
        <f>H4-H11</f>
        <v>137151.1</v>
      </c>
      <c r="I13" s="383">
        <v>137151.1</v>
      </c>
      <c r="J13" s="313">
        <f>J4-J11</f>
        <v>0</v>
      </c>
      <c r="K13" s="383">
        <f t="shared" ref="K13:L13" si="2">K4-K11</f>
        <v>137151.1</v>
      </c>
      <c r="L13" s="426">
        <f t="shared" si="2"/>
        <v>10000</v>
      </c>
      <c r="M13" s="72"/>
    </row>
    <row r="14" spans="1:13" s="1" customFormat="1" ht="17.25" thickTop="1" thickBot="1" x14ac:dyDescent="0.3">
      <c r="A14" s="45"/>
      <c r="B14" s="46"/>
      <c r="C14" s="118"/>
      <c r="D14" s="118"/>
      <c r="E14" s="119"/>
      <c r="F14" s="182"/>
      <c r="G14" s="304"/>
      <c r="H14" s="182"/>
      <c r="I14" s="384"/>
      <c r="J14" s="495"/>
      <c r="K14" s="384"/>
      <c r="L14" s="427"/>
      <c r="M14" s="48"/>
    </row>
  </sheetData>
  <mergeCells count="2">
    <mergeCell ref="A1:B1"/>
    <mergeCell ref="A4:B4"/>
  </mergeCells>
  <pageMargins left="0.7" right="0.7" top="0.75" bottom="0.75" header="0.3" footer="0.3"/>
  <pageSetup orientation="landscape" r:id="rId1"/>
  <headerFooter>
    <oddHeader>&amp;CPublic Works Homestead Township</oddHeader>
    <oddFooter>&amp;C&amp;D</oddFooter>
  </headerFooter>
  <colBreaks count="1" manualBreakCount="1">
    <brk id="1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6E0B4"/>
    <pageSetUpPr fitToPage="1"/>
  </sheetPr>
  <dimension ref="A1:N61"/>
  <sheetViews>
    <sheetView zoomScale="70" zoomScaleNormal="70" workbookViewId="0">
      <pane ySplit="1" topLeftCell="A11" activePane="bottomLeft" state="frozen"/>
      <selection pane="bottomLeft" activeCell="M37" sqref="M37"/>
    </sheetView>
  </sheetViews>
  <sheetFormatPr defaultColWidth="9.140625" defaultRowHeight="15" x14ac:dyDescent="0.25"/>
  <cols>
    <col min="1" max="1" width="12.7109375" bestFit="1" customWidth="1"/>
    <col min="2" max="2" width="26.5703125" customWidth="1"/>
    <col min="3" max="3" width="16" style="75" hidden="1" customWidth="1"/>
    <col min="4" max="4" width="14" style="75" hidden="1" customWidth="1"/>
    <col min="5" max="5" width="19.140625" style="303" hidden="1" customWidth="1"/>
    <col min="6" max="8" width="19.42578125" style="32" hidden="1" customWidth="1"/>
    <col min="9" max="12" width="19.42578125" style="32" customWidth="1"/>
    <col min="13" max="14" width="13.5703125" bestFit="1" customWidth="1"/>
  </cols>
  <sheetData>
    <row r="1" spans="1:14" s="38" customFormat="1" ht="40.5" customHeight="1" thickBot="1" x14ac:dyDescent="0.35">
      <c r="A1" s="511" t="s">
        <v>0</v>
      </c>
      <c r="B1" s="512"/>
      <c r="C1" s="125" t="s">
        <v>193</v>
      </c>
      <c r="D1" s="125" t="s">
        <v>4</v>
      </c>
      <c r="E1" s="126" t="s">
        <v>5</v>
      </c>
      <c r="F1" s="127" t="s">
        <v>204</v>
      </c>
      <c r="G1" s="298" t="s">
        <v>246</v>
      </c>
      <c r="H1" s="250" t="s">
        <v>252</v>
      </c>
      <c r="I1" s="362" t="s">
        <v>337</v>
      </c>
      <c r="J1" s="223" t="s">
        <v>338</v>
      </c>
      <c r="K1" s="362" t="s">
        <v>339</v>
      </c>
      <c r="L1" s="409" t="s">
        <v>341</v>
      </c>
    </row>
    <row r="2" spans="1:14" s="1" customFormat="1" ht="15.75" x14ac:dyDescent="0.25">
      <c r="A2" s="80"/>
      <c r="B2" s="66" t="s">
        <v>10</v>
      </c>
      <c r="C2" s="93">
        <v>20079.87</v>
      </c>
      <c r="D2" s="93"/>
      <c r="E2" s="67">
        <v>20053.47</v>
      </c>
      <c r="F2" s="169">
        <v>1998.1100000000006</v>
      </c>
      <c r="G2" s="361">
        <v>657.63</v>
      </c>
      <c r="H2" s="294">
        <f>G34</f>
        <v>830.92999999999665</v>
      </c>
      <c r="I2" s="386">
        <v>830.92999999999665</v>
      </c>
      <c r="J2" s="294"/>
      <c r="K2" s="500">
        <f>I2</f>
        <v>830.92999999999665</v>
      </c>
      <c r="L2" s="428"/>
    </row>
    <row r="3" spans="1:14" ht="15.75" x14ac:dyDescent="0.25">
      <c r="A3" s="81" t="s">
        <v>127</v>
      </c>
      <c r="B3" s="51" t="s">
        <v>211</v>
      </c>
      <c r="C3" s="94"/>
      <c r="D3" s="94">
        <v>20141</v>
      </c>
      <c r="E3" s="60">
        <v>0</v>
      </c>
      <c r="F3" s="174">
        <v>0</v>
      </c>
      <c r="G3" s="289">
        <v>0</v>
      </c>
      <c r="H3" s="257">
        <v>0</v>
      </c>
      <c r="I3" s="387">
        <v>0</v>
      </c>
      <c r="J3" s="257"/>
      <c r="K3" s="387"/>
      <c r="L3" s="429"/>
    </row>
    <row r="4" spans="1:14" ht="15.75" x14ac:dyDescent="0.25">
      <c r="A4" s="81"/>
      <c r="B4" s="51" t="s">
        <v>205</v>
      </c>
      <c r="C4" s="94"/>
      <c r="D4" s="94">
        <v>15000</v>
      </c>
      <c r="E4" s="60">
        <v>1000</v>
      </c>
      <c r="F4" s="170">
        <v>55000</v>
      </c>
      <c r="G4" s="289">
        <v>25000</v>
      </c>
      <c r="H4" s="257">
        <v>60000</v>
      </c>
      <c r="I4" s="387">
        <v>60000</v>
      </c>
      <c r="J4" s="257"/>
      <c r="K4" s="387">
        <v>60000</v>
      </c>
      <c r="L4" s="429">
        <v>60000</v>
      </c>
    </row>
    <row r="5" spans="1:14" ht="15.75" x14ac:dyDescent="0.25">
      <c r="A5" s="81"/>
      <c r="B5" s="51" t="s">
        <v>212</v>
      </c>
      <c r="C5" s="94"/>
      <c r="D5" s="94">
        <v>1270</v>
      </c>
      <c r="E5" s="60">
        <v>1270</v>
      </c>
      <c r="F5" s="183">
        <v>0</v>
      </c>
      <c r="G5" s="289">
        <v>1226.18</v>
      </c>
      <c r="H5" s="257">
        <v>0</v>
      </c>
      <c r="I5" s="387">
        <v>0</v>
      </c>
      <c r="J5" s="257"/>
      <c r="K5" s="387"/>
      <c r="L5" s="429"/>
    </row>
    <row r="6" spans="1:14" ht="15.75" x14ac:dyDescent="0.25">
      <c r="A6" s="81" t="s">
        <v>213</v>
      </c>
      <c r="B6" s="51" t="s">
        <v>214</v>
      </c>
      <c r="C6" s="94"/>
      <c r="D6" s="94">
        <v>2000</v>
      </c>
      <c r="E6" s="60">
        <v>1000</v>
      </c>
      <c r="F6" s="174">
        <v>1500</v>
      </c>
      <c r="G6" s="289">
        <f>1600</f>
        <v>1600</v>
      </c>
      <c r="H6" s="257">
        <v>1500</v>
      </c>
      <c r="I6" s="387">
        <v>1500</v>
      </c>
      <c r="J6" s="257"/>
      <c r="K6" s="387">
        <v>1500</v>
      </c>
      <c r="L6" s="429"/>
    </row>
    <row r="7" spans="1:14" ht="15.75" x14ac:dyDescent="0.25">
      <c r="A7" s="144"/>
      <c r="B7" s="12" t="s">
        <v>215</v>
      </c>
      <c r="C7" s="23"/>
      <c r="D7" s="23">
        <v>1500</v>
      </c>
      <c r="E7" s="96">
        <v>0</v>
      </c>
      <c r="F7" s="184">
        <v>1000</v>
      </c>
      <c r="G7" s="290">
        <v>1050</v>
      </c>
      <c r="H7" s="295">
        <v>1000</v>
      </c>
      <c r="I7" s="388">
        <v>1000</v>
      </c>
      <c r="J7" s="295"/>
      <c r="K7" s="388">
        <v>1000</v>
      </c>
      <c r="L7" s="430">
        <v>1200</v>
      </c>
    </row>
    <row r="8" spans="1:14" s="38" customFormat="1" ht="16.5" thickBot="1" x14ac:dyDescent="0.3">
      <c r="A8" s="515" t="s">
        <v>75</v>
      </c>
      <c r="B8" s="516"/>
      <c r="C8" s="69">
        <f>SUM(C2:C7)</f>
        <v>20079.87</v>
      </c>
      <c r="D8" s="68">
        <f>SUM(D3:D7)</f>
        <v>39911</v>
      </c>
      <c r="E8" s="299">
        <f>SUM(E2:E7)</f>
        <v>23323.47</v>
      </c>
      <c r="F8" s="185">
        <v>59498.11</v>
      </c>
      <c r="G8" s="291">
        <f>SUM(G2:G7)</f>
        <v>29533.81</v>
      </c>
      <c r="H8" s="296">
        <f>SUM(H2:H7)</f>
        <v>63330.929999999993</v>
      </c>
      <c r="I8" s="389">
        <v>63330.929999999993</v>
      </c>
      <c r="J8" s="296">
        <f>SUM(J2:J7)</f>
        <v>0</v>
      </c>
      <c r="K8" s="389">
        <f t="shared" ref="K8:L8" si="0">SUM(K2:K7)</f>
        <v>63330.929999999993</v>
      </c>
      <c r="L8" s="431">
        <f t="shared" si="0"/>
        <v>61200</v>
      </c>
    </row>
    <row r="9" spans="1:14" ht="15.75" x14ac:dyDescent="0.25">
      <c r="A9" s="145" t="s">
        <v>216</v>
      </c>
      <c r="B9" s="4"/>
      <c r="C9" s="23"/>
      <c r="D9" s="23"/>
      <c r="E9" s="96"/>
      <c r="F9" s="184"/>
      <c r="G9" s="290"/>
      <c r="H9" s="295"/>
      <c r="I9" s="388"/>
      <c r="J9" s="295"/>
      <c r="K9" s="388"/>
      <c r="L9" s="430"/>
    </row>
    <row r="10" spans="1:14" ht="15.75" x14ac:dyDescent="0.25">
      <c r="A10" s="137" t="s">
        <v>217</v>
      </c>
      <c r="B10" s="40" t="s">
        <v>251</v>
      </c>
      <c r="C10" s="56"/>
      <c r="D10" s="56">
        <v>20000</v>
      </c>
      <c r="E10" s="300">
        <v>15750</v>
      </c>
      <c r="F10" s="186">
        <v>20000</v>
      </c>
      <c r="G10" s="292">
        <v>23400</v>
      </c>
      <c r="H10" s="252">
        <v>0</v>
      </c>
      <c r="I10" s="390">
        <v>0</v>
      </c>
      <c r="J10" s="252"/>
      <c r="K10" s="390"/>
      <c r="L10" s="432"/>
      <c r="M10" s="190">
        <f>G10+G11+13700</f>
        <v>37950</v>
      </c>
      <c r="N10" s="190" t="s">
        <v>255</v>
      </c>
    </row>
    <row r="11" spans="1:14" ht="15.75" x14ac:dyDescent="0.25">
      <c r="A11" s="137" t="s">
        <v>330</v>
      </c>
      <c r="B11" s="40" t="s">
        <v>331</v>
      </c>
      <c r="C11" s="56"/>
      <c r="D11" s="56">
        <v>0</v>
      </c>
      <c r="E11" s="300">
        <v>0</v>
      </c>
      <c r="F11" s="186">
        <v>0</v>
      </c>
      <c r="G11" s="344">
        <v>850</v>
      </c>
      <c r="H11" s="252">
        <v>18300</v>
      </c>
      <c r="I11" s="390">
        <v>18300</v>
      </c>
      <c r="J11" s="252"/>
      <c r="K11" s="390">
        <v>18300</v>
      </c>
      <c r="L11" s="432">
        <v>15050</v>
      </c>
      <c r="M11" s="190">
        <f>M10/7</f>
        <v>5421.4285714285716</v>
      </c>
      <c r="N11" t="s">
        <v>256</v>
      </c>
    </row>
    <row r="12" spans="1:14" ht="15.75" x14ac:dyDescent="0.25">
      <c r="A12" s="82" t="s">
        <v>218</v>
      </c>
      <c r="B12" s="5" t="s">
        <v>219</v>
      </c>
      <c r="C12" s="94"/>
      <c r="D12" s="94">
        <v>0</v>
      </c>
      <c r="E12" s="60"/>
      <c r="F12" s="174">
        <v>0</v>
      </c>
      <c r="G12" s="289">
        <v>0</v>
      </c>
      <c r="H12" s="257">
        <v>0</v>
      </c>
      <c r="I12" s="387">
        <v>0</v>
      </c>
      <c r="J12" s="257"/>
      <c r="K12" s="387">
        <v>0</v>
      </c>
      <c r="L12" s="429"/>
      <c r="M12" s="190">
        <f>M11/4</f>
        <v>1355.3571428571429</v>
      </c>
      <c r="N12" t="s">
        <v>257</v>
      </c>
    </row>
    <row r="13" spans="1:14" ht="15.75" x14ac:dyDescent="0.25">
      <c r="A13" s="82" t="s">
        <v>218</v>
      </c>
      <c r="B13" s="5" t="s">
        <v>220</v>
      </c>
      <c r="C13" s="94"/>
      <c r="D13" s="94">
        <v>400</v>
      </c>
      <c r="E13" s="60">
        <v>46.78</v>
      </c>
      <c r="F13" s="174">
        <v>400</v>
      </c>
      <c r="G13" s="289">
        <v>91.18</v>
      </c>
      <c r="H13" s="257">
        <v>1000</v>
      </c>
      <c r="I13" s="387">
        <v>1000</v>
      </c>
      <c r="J13" s="257"/>
      <c r="K13" s="387">
        <v>1000</v>
      </c>
      <c r="L13" s="429">
        <v>254.99</v>
      </c>
    </row>
    <row r="14" spans="1:14" ht="15.75" x14ac:dyDescent="0.25">
      <c r="A14" s="82"/>
      <c r="B14" s="5" t="s">
        <v>176</v>
      </c>
      <c r="C14" s="94"/>
      <c r="D14" s="94">
        <v>0</v>
      </c>
      <c r="E14" s="60">
        <v>0</v>
      </c>
      <c r="F14" s="174">
        <v>0</v>
      </c>
      <c r="G14" s="289">
        <v>120</v>
      </c>
      <c r="H14" s="257">
        <v>600</v>
      </c>
      <c r="I14" s="387">
        <v>600</v>
      </c>
      <c r="J14" s="257"/>
      <c r="K14" s="387">
        <v>600</v>
      </c>
      <c r="L14" s="429"/>
    </row>
    <row r="15" spans="1:14" ht="15.75" x14ac:dyDescent="0.25">
      <c r="A15" s="82" t="s">
        <v>221</v>
      </c>
      <c r="B15" s="5" t="s">
        <v>103</v>
      </c>
      <c r="C15" s="94">
        <v>42.45</v>
      </c>
      <c r="D15" s="94">
        <v>2500</v>
      </c>
      <c r="E15" s="60">
        <v>884.92</v>
      </c>
      <c r="F15" s="174">
        <v>2500</v>
      </c>
      <c r="G15" s="289">
        <v>1433.06</v>
      </c>
      <c r="H15" s="257">
        <v>1500</v>
      </c>
      <c r="I15" s="387">
        <v>1500</v>
      </c>
      <c r="J15" s="257"/>
      <c r="K15" s="387">
        <v>1500</v>
      </c>
      <c r="L15" s="429">
        <v>786.54</v>
      </c>
    </row>
    <row r="16" spans="1:14" ht="18" customHeight="1" x14ac:dyDescent="0.25">
      <c r="A16" s="82" t="s">
        <v>222</v>
      </c>
      <c r="B16" s="5" t="s">
        <v>223</v>
      </c>
      <c r="C16" s="94"/>
      <c r="D16" s="94">
        <v>350</v>
      </c>
      <c r="E16" s="60">
        <v>53</v>
      </c>
      <c r="F16" s="170">
        <v>50</v>
      </c>
      <c r="G16" s="289">
        <v>40</v>
      </c>
      <c r="H16" s="257">
        <v>100</v>
      </c>
      <c r="I16" s="387">
        <v>100</v>
      </c>
      <c r="J16" s="257"/>
      <c r="K16" s="387">
        <v>100</v>
      </c>
      <c r="L16" s="429">
        <v>485</v>
      </c>
    </row>
    <row r="17" spans="1:13" ht="15.75" x14ac:dyDescent="0.25">
      <c r="A17" s="82" t="s">
        <v>224</v>
      </c>
      <c r="B17" s="5" t="s">
        <v>225</v>
      </c>
      <c r="C17" s="94"/>
      <c r="D17" s="94">
        <v>100</v>
      </c>
      <c r="E17" s="60">
        <v>437.71</v>
      </c>
      <c r="F17" s="170">
        <v>750</v>
      </c>
      <c r="G17" s="289">
        <v>307.39999999999998</v>
      </c>
      <c r="H17" s="257">
        <v>150</v>
      </c>
      <c r="I17" s="387">
        <v>150</v>
      </c>
      <c r="J17" s="257"/>
      <c r="K17" s="387">
        <v>150</v>
      </c>
      <c r="L17" s="429"/>
    </row>
    <row r="18" spans="1:13" ht="15.75" x14ac:dyDescent="0.25">
      <c r="A18" s="146"/>
      <c r="B18" s="5" t="s">
        <v>226</v>
      </c>
      <c r="C18" s="94"/>
      <c r="D18" s="94">
        <v>200</v>
      </c>
      <c r="E18" s="60">
        <v>0</v>
      </c>
      <c r="F18" s="174">
        <v>0</v>
      </c>
      <c r="G18" s="289">
        <v>0</v>
      </c>
      <c r="H18" s="257">
        <v>150</v>
      </c>
      <c r="I18" s="387">
        <v>150</v>
      </c>
      <c r="J18" s="257"/>
      <c r="K18" s="387">
        <v>150</v>
      </c>
      <c r="L18" s="429"/>
    </row>
    <row r="19" spans="1:13" ht="15.75" x14ac:dyDescent="0.25">
      <c r="A19" s="147"/>
      <c r="B19" s="40" t="s">
        <v>227</v>
      </c>
      <c r="C19" s="56"/>
      <c r="D19" s="56">
        <v>300</v>
      </c>
      <c r="E19" s="300">
        <v>227</v>
      </c>
      <c r="F19" s="186">
        <v>300</v>
      </c>
      <c r="G19" s="292">
        <v>0</v>
      </c>
      <c r="H19" s="252">
        <v>300</v>
      </c>
      <c r="I19" s="390">
        <v>300</v>
      </c>
      <c r="J19" s="252"/>
      <c r="K19" s="390">
        <v>300</v>
      </c>
      <c r="L19" s="432"/>
    </row>
    <row r="20" spans="1:13" ht="15.75" x14ac:dyDescent="0.25">
      <c r="A20" s="82" t="s">
        <v>228</v>
      </c>
      <c r="B20" s="5" t="s">
        <v>229</v>
      </c>
      <c r="C20" s="94"/>
      <c r="D20" s="94">
        <v>600</v>
      </c>
      <c r="E20" s="60">
        <v>1240.4000000000001</v>
      </c>
      <c r="F20" s="174">
        <v>608</v>
      </c>
      <c r="G20" s="292">
        <v>819</v>
      </c>
      <c r="H20" s="252">
        <v>820</v>
      </c>
      <c r="I20" s="387">
        <v>820</v>
      </c>
      <c r="J20" s="257"/>
      <c r="K20" s="387">
        <v>820</v>
      </c>
      <c r="L20" s="429"/>
    </row>
    <row r="21" spans="1:13" ht="15.75" x14ac:dyDescent="0.25">
      <c r="A21" s="146" t="s">
        <v>241</v>
      </c>
      <c r="B21" s="5" t="s">
        <v>230</v>
      </c>
      <c r="C21" s="94"/>
      <c r="D21" s="94">
        <v>4500</v>
      </c>
      <c r="E21" s="60">
        <v>0</v>
      </c>
      <c r="F21" s="174">
        <v>0</v>
      </c>
      <c r="G21" s="292">
        <v>292.24</v>
      </c>
      <c r="H21" s="257">
        <v>10000</v>
      </c>
      <c r="I21" s="387">
        <v>10000</v>
      </c>
      <c r="J21" s="257"/>
      <c r="K21" s="387">
        <v>10000</v>
      </c>
      <c r="L21" s="429">
        <f>2040+1001.7</f>
        <v>3041.7</v>
      </c>
      <c r="M21" t="s">
        <v>293</v>
      </c>
    </row>
    <row r="22" spans="1:13" ht="15.75" x14ac:dyDescent="0.25">
      <c r="A22" s="147" t="s">
        <v>231</v>
      </c>
      <c r="B22" s="40" t="s">
        <v>232</v>
      </c>
      <c r="C22" s="56"/>
      <c r="D22" s="56">
        <v>500</v>
      </c>
      <c r="E22" s="300">
        <v>1200</v>
      </c>
      <c r="F22" s="186">
        <v>1200</v>
      </c>
      <c r="G22" s="292">
        <v>1260</v>
      </c>
      <c r="H22" s="252">
        <v>1200</v>
      </c>
      <c r="I22" s="390">
        <v>1200</v>
      </c>
      <c r="J22" s="252"/>
      <c r="K22" s="390">
        <v>1200</v>
      </c>
      <c r="L22" s="432"/>
      <c r="M22" t="s">
        <v>253</v>
      </c>
    </row>
    <row r="23" spans="1:13" ht="15.75" x14ac:dyDescent="0.25">
      <c r="A23" s="147"/>
      <c r="B23" s="40" t="s">
        <v>233</v>
      </c>
      <c r="C23" s="56"/>
      <c r="D23" s="56">
        <v>400</v>
      </c>
      <c r="E23" s="300">
        <v>0</v>
      </c>
      <c r="F23" s="186">
        <v>0</v>
      </c>
      <c r="G23" s="292">
        <v>90</v>
      </c>
      <c r="H23" s="252">
        <v>0</v>
      </c>
      <c r="I23" s="390">
        <v>0</v>
      </c>
      <c r="J23" s="252"/>
      <c r="K23" s="390">
        <v>0</v>
      </c>
      <c r="L23" s="432"/>
    </row>
    <row r="24" spans="1:13" ht="15.75" x14ac:dyDescent="0.25">
      <c r="A24" s="147" t="s">
        <v>234</v>
      </c>
      <c r="B24" s="40" t="s">
        <v>235</v>
      </c>
      <c r="C24" s="56"/>
      <c r="D24" s="56">
        <v>350</v>
      </c>
      <c r="E24" s="300">
        <v>200</v>
      </c>
      <c r="F24" s="186">
        <v>200</v>
      </c>
      <c r="G24" s="292">
        <v>0</v>
      </c>
      <c r="H24" s="252">
        <v>100</v>
      </c>
      <c r="I24" s="390">
        <v>100</v>
      </c>
      <c r="J24" s="252"/>
      <c r="K24" s="390">
        <v>100</v>
      </c>
      <c r="L24" s="432"/>
    </row>
    <row r="25" spans="1:13" ht="15.75" x14ac:dyDescent="0.25">
      <c r="A25" s="146"/>
      <c r="B25" s="5" t="s">
        <v>236</v>
      </c>
      <c r="C25" s="94"/>
      <c r="D25" s="94">
        <v>300</v>
      </c>
      <c r="E25" s="60">
        <v>0</v>
      </c>
      <c r="F25" s="174">
        <v>0</v>
      </c>
      <c r="G25" s="289">
        <v>0</v>
      </c>
      <c r="H25" s="257">
        <v>0</v>
      </c>
      <c r="I25" s="387">
        <v>0</v>
      </c>
      <c r="J25" s="257"/>
      <c r="K25" s="387">
        <v>0</v>
      </c>
      <c r="L25" s="429"/>
    </row>
    <row r="26" spans="1:13" ht="15.75" x14ac:dyDescent="0.25">
      <c r="A26" s="147" t="s">
        <v>344</v>
      </c>
      <c r="B26" s="40" t="s">
        <v>237</v>
      </c>
      <c r="C26" s="56"/>
      <c r="D26" s="56">
        <v>200</v>
      </c>
      <c r="E26" s="300">
        <v>0</v>
      </c>
      <c r="F26" s="186">
        <v>0</v>
      </c>
      <c r="G26" s="292">
        <v>0</v>
      </c>
      <c r="H26" s="252">
        <v>2000</v>
      </c>
      <c r="I26" s="390">
        <v>2000</v>
      </c>
      <c r="J26" s="252"/>
      <c r="K26" s="390">
        <v>2000</v>
      </c>
      <c r="L26" s="432">
        <v>250</v>
      </c>
    </row>
    <row r="27" spans="1:13" ht="15.75" x14ac:dyDescent="0.25">
      <c r="A27" s="146"/>
      <c r="B27" s="5" t="s">
        <v>238</v>
      </c>
      <c r="C27" s="94"/>
      <c r="D27" s="94">
        <v>0</v>
      </c>
      <c r="E27" s="60">
        <v>0</v>
      </c>
      <c r="F27" s="174">
        <v>0</v>
      </c>
      <c r="G27" s="289">
        <v>0</v>
      </c>
      <c r="H27" s="257">
        <v>0</v>
      </c>
      <c r="I27" s="387">
        <v>0</v>
      </c>
      <c r="J27" s="257"/>
      <c r="K27" s="387">
        <v>0</v>
      </c>
      <c r="L27" s="429"/>
    </row>
    <row r="28" spans="1:13" ht="15.75" x14ac:dyDescent="0.25">
      <c r="A28" s="146"/>
      <c r="B28" s="5" t="s">
        <v>239</v>
      </c>
      <c r="C28" s="94"/>
      <c r="D28" s="94">
        <v>0</v>
      </c>
      <c r="E28" s="60">
        <v>0</v>
      </c>
      <c r="F28" s="174">
        <v>3129.81</v>
      </c>
      <c r="G28" s="289">
        <v>0</v>
      </c>
      <c r="H28" s="257">
        <v>3200</v>
      </c>
      <c r="I28" s="387">
        <v>3200</v>
      </c>
      <c r="J28" s="257"/>
      <c r="K28" s="387">
        <v>3200</v>
      </c>
      <c r="L28" s="429"/>
    </row>
    <row r="29" spans="1:13" ht="15.75" x14ac:dyDescent="0.25">
      <c r="A29" s="146"/>
      <c r="B29" s="5" t="s">
        <v>240</v>
      </c>
      <c r="C29" s="94"/>
      <c r="D29" s="94">
        <v>250</v>
      </c>
      <c r="E29" s="60">
        <v>0</v>
      </c>
      <c r="F29" s="174">
        <v>0</v>
      </c>
      <c r="G29" s="289">
        <v>0</v>
      </c>
      <c r="H29" s="257">
        <v>250</v>
      </c>
      <c r="I29" s="387">
        <v>250</v>
      </c>
      <c r="J29" s="257"/>
      <c r="K29" s="387">
        <v>250</v>
      </c>
      <c r="L29" s="429"/>
    </row>
    <row r="30" spans="1:13" ht="15.75" x14ac:dyDescent="0.25">
      <c r="A30" s="139" t="s">
        <v>241</v>
      </c>
      <c r="B30" s="2" t="s">
        <v>156</v>
      </c>
      <c r="C30" s="23"/>
      <c r="D30" s="23">
        <v>0</v>
      </c>
      <c r="E30" s="96">
        <v>1285.55</v>
      </c>
      <c r="F30" s="184">
        <v>0</v>
      </c>
      <c r="G30" s="290">
        <v>0</v>
      </c>
      <c r="H30" s="295">
        <v>0</v>
      </c>
      <c r="I30" s="388">
        <v>0</v>
      </c>
      <c r="J30" s="295"/>
      <c r="K30" s="388">
        <v>0</v>
      </c>
      <c r="L30" s="430">
        <v>0</v>
      </c>
    </row>
    <row r="31" spans="1:13" ht="15.75" x14ac:dyDescent="0.25">
      <c r="A31" s="139" t="s">
        <v>267</v>
      </c>
      <c r="B31" s="2" t="s">
        <v>29</v>
      </c>
      <c r="C31" s="23"/>
      <c r="D31" s="23"/>
      <c r="E31" s="96">
        <v>0</v>
      </c>
      <c r="F31" s="184">
        <v>0</v>
      </c>
      <c r="G31" s="290">
        <v>0</v>
      </c>
      <c r="H31" s="295">
        <v>20000</v>
      </c>
      <c r="I31" s="388">
        <v>20000</v>
      </c>
      <c r="J31" s="295"/>
      <c r="K31" s="388">
        <v>20000</v>
      </c>
      <c r="L31" s="430"/>
    </row>
    <row r="32" spans="1:13" s="38" customFormat="1" ht="16.5" thickBot="1" x14ac:dyDescent="0.3">
      <c r="A32" s="148" t="s">
        <v>85</v>
      </c>
      <c r="B32" s="90"/>
      <c r="C32" s="69">
        <f>SUM(C10:C30)</f>
        <v>42.45</v>
      </c>
      <c r="D32" s="68">
        <f>SUM(D10:D30)</f>
        <v>30950</v>
      </c>
      <c r="E32" s="299">
        <f>SUM(E10:E31)</f>
        <v>21325.360000000001</v>
      </c>
      <c r="F32" s="185">
        <v>29137.81</v>
      </c>
      <c r="G32" s="291">
        <f>SUM(G10:G31)</f>
        <v>28702.880000000005</v>
      </c>
      <c r="H32" s="296">
        <f>SUM(H10:H31)</f>
        <v>59670</v>
      </c>
      <c r="I32" s="389">
        <v>59670</v>
      </c>
      <c r="J32" s="296">
        <f>SUM(J10:J31)</f>
        <v>0</v>
      </c>
      <c r="K32" s="389">
        <f t="shared" ref="K32:L32" si="1">SUM(K10:K31)</f>
        <v>59670</v>
      </c>
      <c r="L32" s="431">
        <f t="shared" si="1"/>
        <v>19868.23</v>
      </c>
    </row>
    <row r="33" spans="1:12" ht="15.75" x14ac:dyDescent="0.25">
      <c r="A33" s="139"/>
      <c r="C33" s="23"/>
      <c r="D33" s="23"/>
      <c r="E33" s="96"/>
      <c r="F33" s="184"/>
      <c r="G33" s="290"/>
      <c r="H33" s="295"/>
      <c r="I33" s="388"/>
      <c r="J33" s="295"/>
      <c r="K33" s="388"/>
      <c r="L33" s="430"/>
    </row>
    <row r="34" spans="1:12" s="38" customFormat="1" ht="16.5" thickBot="1" x14ac:dyDescent="0.3">
      <c r="A34" s="149" t="s">
        <v>210</v>
      </c>
      <c r="B34" s="123"/>
      <c r="C34" s="124">
        <f>C8-C32</f>
        <v>20037.419999999998</v>
      </c>
      <c r="D34" s="124">
        <f>D8-D32</f>
        <v>8961</v>
      </c>
      <c r="E34" s="301">
        <f>E8-E32</f>
        <v>1998.1100000000006</v>
      </c>
      <c r="F34" s="187">
        <v>30360.3</v>
      </c>
      <c r="G34" s="293">
        <f>G8-G32</f>
        <v>830.92999999999665</v>
      </c>
      <c r="H34" s="297">
        <f>H8-H32</f>
        <v>3660.929999999993</v>
      </c>
      <c r="I34" s="391">
        <v>3660.929999999993</v>
      </c>
      <c r="J34" s="297">
        <f>J8-J32</f>
        <v>0</v>
      </c>
      <c r="K34" s="391">
        <f t="shared" ref="K34:L34" si="2">K8-K32</f>
        <v>3660.929999999993</v>
      </c>
      <c r="L34" s="433">
        <f t="shared" si="2"/>
        <v>41331.770000000004</v>
      </c>
    </row>
    <row r="35" spans="1:12" ht="16.5" thickTop="1" x14ac:dyDescent="0.25">
      <c r="A35" s="139"/>
      <c r="C35" s="23"/>
      <c r="D35" s="23"/>
      <c r="E35" s="96"/>
      <c r="F35" s="188"/>
      <c r="G35" s="188"/>
      <c r="H35" s="188"/>
      <c r="I35" s="392"/>
      <c r="J35" s="498"/>
      <c r="K35" s="392"/>
      <c r="L35" s="392"/>
    </row>
    <row r="36" spans="1:12" ht="16.5" thickBot="1" x14ac:dyDescent="0.3">
      <c r="A36" s="84"/>
      <c r="B36" s="142"/>
      <c r="C36" s="150"/>
      <c r="D36" s="150"/>
      <c r="E36" s="302"/>
      <c r="F36" s="189"/>
      <c r="G36" s="189"/>
      <c r="H36" s="189"/>
      <c r="I36" s="393"/>
      <c r="J36" s="499"/>
      <c r="K36" s="393"/>
      <c r="L36" s="393"/>
    </row>
    <row r="37" spans="1:12" ht="15.75" x14ac:dyDescent="0.25">
      <c r="C37" s="23"/>
      <c r="D37" s="23"/>
      <c r="E37" s="96"/>
    </row>
    <row r="38" spans="1:12" ht="15.75" x14ac:dyDescent="0.25">
      <c r="C38" s="23"/>
      <c r="D38" s="23"/>
      <c r="E38" s="96"/>
    </row>
    <row r="39" spans="1:12" ht="15.75" x14ac:dyDescent="0.25">
      <c r="C39" s="23"/>
      <c r="D39" s="23"/>
      <c r="E39" s="96"/>
    </row>
    <row r="40" spans="1:12" ht="15.75" x14ac:dyDescent="0.25">
      <c r="C40" s="23"/>
      <c r="D40" s="23"/>
      <c r="E40" s="96"/>
    </row>
    <row r="41" spans="1:12" ht="15.75" x14ac:dyDescent="0.25">
      <c r="C41" s="23"/>
      <c r="D41" s="23"/>
      <c r="E41" s="96"/>
    </row>
    <row r="42" spans="1:12" ht="15.75" x14ac:dyDescent="0.25">
      <c r="C42" s="23"/>
      <c r="D42" s="23"/>
      <c r="E42" s="96"/>
    </row>
    <row r="43" spans="1:12" ht="15.75" x14ac:dyDescent="0.25">
      <c r="C43" s="23"/>
      <c r="D43" s="23"/>
      <c r="E43" s="96"/>
    </row>
    <row r="44" spans="1:12" ht="15.75" x14ac:dyDescent="0.25">
      <c r="C44" s="23"/>
      <c r="D44" s="23"/>
      <c r="E44" s="96"/>
    </row>
    <row r="45" spans="1:12" ht="15.75" x14ac:dyDescent="0.25">
      <c r="C45" s="23"/>
      <c r="D45" s="23"/>
      <c r="E45" s="96"/>
    </row>
    <row r="46" spans="1:12" ht="15.75" x14ac:dyDescent="0.25">
      <c r="C46" s="23"/>
      <c r="D46" s="23"/>
      <c r="E46" s="96"/>
    </row>
    <row r="47" spans="1:12" ht="15.75" x14ac:dyDescent="0.25">
      <c r="C47" s="23"/>
      <c r="D47" s="23"/>
      <c r="E47" s="96"/>
    </row>
    <row r="48" spans="1:12" ht="15.75" x14ac:dyDescent="0.25">
      <c r="C48" s="23"/>
      <c r="D48" s="23"/>
      <c r="E48" s="96"/>
    </row>
    <row r="49" spans="3:5" ht="15.75" x14ac:dyDescent="0.25">
      <c r="C49" s="23"/>
      <c r="D49" s="23"/>
      <c r="E49" s="96"/>
    </row>
    <row r="50" spans="3:5" ht="15.75" x14ac:dyDescent="0.25">
      <c r="C50" s="23"/>
      <c r="D50" s="23"/>
      <c r="E50" s="96"/>
    </row>
    <row r="51" spans="3:5" ht="15.75" x14ac:dyDescent="0.25">
      <c r="C51" s="23"/>
      <c r="D51" s="23"/>
      <c r="E51" s="96"/>
    </row>
    <row r="52" spans="3:5" ht="15.75" x14ac:dyDescent="0.25">
      <c r="C52" s="23"/>
      <c r="D52" s="23"/>
      <c r="E52" s="96"/>
    </row>
    <row r="53" spans="3:5" ht="15.75" x14ac:dyDescent="0.25">
      <c r="C53" s="23"/>
      <c r="D53" s="23"/>
      <c r="E53" s="96"/>
    </row>
    <row r="54" spans="3:5" ht="15.75" x14ac:dyDescent="0.25">
      <c r="C54" s="23"/>
      <c r="D54" s="23"/>
      <c r="E54" s="96"/>
    </row>
    <row r="55" spans="3:5" ht="15.75" x14ac:dyDescent="0.25">
      <c r="C55" s="23"/>
      <c r="D55" s="23"/>
      <c r="E55" s="96"/>
    </row>
    <row r="56" spans="3:5" ht="15.75" x14ac:dyDescent="0.25">
      <c r="C56" s="23"/>
      <c r="D56" s="23"/>
      <c r="E56" s="96"/>
    </row>
    <row r="57" spans="3:5" ht="15.75" x14ac:dyDescent="0.25">
      <c r="C57" s="23"/>
      <c r="D57" s="23"/>
      <c r="E57" s="96"/>
    </row>
    <row r="58" spans="3:5" ht="15.75" x14ac:dyDescent="0.25">
      <c r="C58" s="23"/>
      <c r="D58" s="23"/>
      <c r="E58" s="96"/>
    </row>
    <row r="59" spans="3:5" ht="15.75" x14ac:dyDescent="0.25">
      <c r="C59" s="23"/>
      <c r="D59" s="23"/>
      <c r="E59" s="96"/>
    </row>
    <row r="60" spans="3:5" ht="15.75" x14ac:dyDescent="0.25">
      <c r="C60" s="23"/>
      <c r="D60" s="23"/>
      <c r="E60" s="96"/>
    </row>
    <row r="61" spans="3:5" ht="15.75" x14ac:dyDescent="0.25">
      <c r="C61" s="23"/>
      <c r="D61" s="23"/>
      <c r="E61" s="96"/>
    </row>
  </sheetData>
  <mergeCells count="2">
    <mergeCell ref="A1:B1"/>
    <mergeCell ref="A8:B8"/>
  </mergeCells>
  <pageMargins left="0.7" right="0.7" top="0.75" bottom="0.75" header="0.3" footer="0.3"/>
  <pageSetup scale="91" orientation="landscape" r:id="rId1"/>
  <headerFooter>
    <oddHeader>&amp;CPark and Rec Homestead Township</oddHeader>
    <oddFooter>&amp;C&amp;D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6E0B4"/>
    <pageSetUpPr fitToPage="1"/>
  </sheetPr>
  <dimension ref="A1:L41"/>
  <sheetViews>
    <sheetView zoomScale="80" zoomScaleNormal="80" workbookViewId="0">
      <pane xSplit="3" ySplit="16" topLeftCell="J37" activePane="bottomRight" state="frozen"/>
      <selection pane="topRight" activeCell="D1" sqref="D1"/>
      <selection pane="bottomLeft" activeCell="A15" sqref="A15"/>
      <selection pane="bottomRight" activeCell="L41" sqref="L41"/>
    </sheetView>
  </sheetViews>
  <sheetFormatPr defaultRowHeight="15.75" x14ac:dyDescent="0.25"/>
  <cols>
    <col min="1" max="1" width="13.5703125" bestFit="1" customWidth="1"/>
    <col min="2" max="2" width="35" customWidth="1"/>
    <col min="3" max="3" width="15.140625" hidden="1" customWidth="1"/>
    <col min="4" max="4" width="15.7109375" style="112" hidden="1" customWidth="1"/>
    <col min="5" max="5" width="17.42578125" style="288" customWidth="1"/>
    <col min="6" max="6" width="16.5703125" customWidth="1"/>
    <col min="7" max="8" width="16.5703125" hidden="1" customWidth="1"/>
    <col min="9" max="12" width="16.5703125" customWidth="1"/>
  </cols>
  <sheetData>
    <row r="1" spans="1:12" s="129" customFormat="1" ht="57" thickBot="1" x14ac:dyDescent="0.35">
      <c r="A1" s="511" t="s">
        <v>0</v>
      </c>
      <c r="B1" s="512"/>
      <c r="C1" s="126" t="s">
        <v>141</v>
      </c>
      <c r="D1" s="126" t="s">
        <v>4</v>
      </c>
      <c r="E1" s="126" t="s">
        <v>5</v>
      </c>
      <c r="F1" s="154" t="s">
        <v>142</v>
      </c>
      <c r="G1" s="263" t="s">
        <v>242</v>
      </c>
      <c r="H1" s="274" t="s">
        <v>243</v>
      </c>
      <c r="I1" s="362" t="s">
        <v>337</v>
      </c>
      <c r="J1" s="223" t="s">
        <v>338</v>
      </c>
      <c r="K1" s="362" t="s">
        <v>339</v>
      </c>
      <c r="L1" s="409" t="s">
        <v>341</v>
      </c>
    </row>
    <row r="2" spans="1:12" ht="19.5" thickBot="1" x14ac:dyDescent="0.35">
      <c r="A2" s="132"/>
      <c r="B2" s="95" t="s">
        <v>10</v>
      </c>
      <c r="C2" s="107">
        <f>106748.91+19311.52</f>
        <v>126060.43000000001</v>
      </c>
      <c r="D2" s="108"/>
      <c r="E2" s="107">
        <v>106748.91</v>
      </c>
      <c r="F2" s="155">
        <v>123912.76</v>
      </c>
      <c r="G2" s="359">
        <v>119810.19</v>
      </c>
      <c r="H2" s="275">
        <f>G41</f>
        <v>158070.66999999998</v>
      </c>
      <c r="I2" s="394">
        <v>158070.66999999998</v>
      </c>
      <c r="J2" s="275"/>
      <c r="K2" s="394">
        <v>158070.66999999998</v>
      </c>
      <c r="L2" s="434"/>
    </row>
    <row r="3" spans="1:12" x14ac:dyDescent="0.25">
      <c r="A3" s="133" t="s">
        <v>144</v>
      </c>
      <c r="B3" s="86" t="s">
        <v>145</v>
      </c>
      <c r="C3" s="109">
        <v>19472.11</v>
      </c>
      <c r="D3" s="109">
        <v>19990.96</v>
      </c>
      <c r="E3" s="284">
        <v>19990.78</v>
      </c>
      <c r="F3" s="156">
        <v>20659.62</v>
      </c>
      <c r="G3" s="346">
        <f>13528.83-3540.07</f>
        <v>9988.76</v>
      </c>
      <c r="H3" s="276">
        <v>21283.58</v>
      </c>
      <c r="I3" s="395">
        <v>21283.58</v>
      </c>
      <c r="J3" s="276"/>
      <c r="K3" s="395">
        <v>21283.58</v>
      </c>
      <c r="L3" s="435">
        <v>21283.58</v>
      </c>
    </row>
    <row r="4" spans="1:12" x14ac:dyDescent="0.25">
      <c r="A4" s="82" t="s">
        <v>144</v>
      </c>
      <c r="B4" s="5" t="s">
        <v>146</v>
      </c>
      <c r="C4" s="37"/>
      <c r="D4" s="37">
        <v>0</v>
      </c>
      <c r="E4" s="62">
        <v>9171.02</v>
      </c>
      <c r="F4" s="157">
        <v>0</v>
      </c>
      <c r="G4" s="264">
        <v>6869.23</v>
      </c>
      <c r="H4" s="277"/>
      <c r="I4" s="396"/>
      <c r="J4" s="277"/>
      <c r="K4" s="396"/>
      <c r="L4" s="436">
        <v>6044.61</v>
      </c>
    </row>
    <row r="5" spans="1:12" x14ac:dyDescent="0.25">
      <c r="A5" s="82" t="s">
        <v>147</v>
      </c>
      <c r="B5" s="5" t="s">
        <v>54</v>
      </c>
      <c r="C5" s="37"/>
      <c r="D5" s="37">
        <v>0</v>
      </c>
      <c r="E5" s="62">
        <v>71.31</v>
      </c>
      <c r="F5" s="157">
        <v>0</v>
      </c>
      <c r="G5" s="264">
        <v>0</v>
      </c>
      <c r="H5" s="277"/>
      <c r="I5" s="396"/>
      <c r="J5" s="277"/>
      <c r="K5" s="396"/>
      <c r="L5" s="436">
        <v>23.63</v>
      </c>
    </row>
    <row r="6" spans="1:12" x14ac:dyDescent="0.25">
      <c r="A6" s="82" t="s">
        <v>148</v>
      </c>
      <c r="B6" s="5" t="s">
        <v>149</v>
      </c>
      <c r="C6" s="37">
        <v>63442.34</v>
      </c>
      <c r="D6" s="37">
        <v>73695.679999999993</v>
      </c>
      <c r="E6" s="62">
        <f>51866.63+15426.62</f>
        <v>67293.25</v>
      </c>
      <c r="F6" s="157">
        <v>75792.27</v>
      </c>
      <c r="G6" s="264">
        <f>7431.86+86625.59</f>
        <v>94057.45</v>
      </c>
      <c r="H6" s="277">
        <v>77925.05</v>
      </c>
      <c r="I6" s="396">
        <v>77925.05</v>
      </c>
      <c r="J6" s="277"/>
      <c r="K6" s="396">
        <v>77925.05</v>
      </c>
      <c r="L6" s="436">
        <v>14.02</v>
      </c>
    </row>
    <row r="7" spans="1:12" x14ac:dyDescent="0.25">
      <c r="A7" s="347" t="s">
        <v>332</v>
      </c>
      <c r="B7" s="89" t="s">
        <v>329</v>
      </c>
      <c r="C7" s="348"/>
      <c r="D7" s="348"/>
      <c r="E7" s="349">
        <v>0</v>
      </c>
      <c r="F7" s="350">
        <v>0</v>
      </c>
      <c r="G7" s="351">
        <v>472.14</v>
      </c>
      <c r="H7" s="352">
        <v>0</v>
      </c>
      <c r="I7" s="397">
        <v>0</v>
      </c>
      <c r="J7" s="352"/>
      <c r="K7" s="397"/>
      <c r="L7" s="437"/>
    </row>
    <row r="8" spans="1:12" s="58" customFormat="1" ht="16.5" thickBot="1" x14ac:dyDescent="0.3">
      <c r="A8" s="513" t="s">
        <v>75</v>
      </c>
      <c r="B8" s="514"/>
      <c r="C8" s="71">
        <f>SUM(C2:C6)</f>
        <v>208974.88</v>
      </c>
      <c r="D8" s="71">
        <f>SUM(D3:D6)</f>
        <v>93686.639999999985</v>
      </c>
      <c r="E8" s="285">
        <f>SUM(E2:E7)</f>
        <v>203275.27</v>
      </c>
      <c r="F8" s="158">
        <v>220364.65000000002</v>
      </c>
      <c r="G8" s="265">
        <f>SUM(G2:G6)</f>
        <v>230725.63</v>
      </c>
      <c r="H8" s="278">
        <f>SUM(H2:H6)</f>
        <v>257279.3</v>
      </c>
      <c r="I8" s="398">
        <v>257279.3</v>
      </c>
      <c r="J8" s="278">
        <f>SUM(J3:J7)</f>
        <v>0</v>
      </c>
      <c r="K8" s="398">
        <f>SUM(K2:K7)</f>
        <v>257279.3</v>
      </c>
      <c r="L8" s="438">
        <f t="shared" ref="L8" si="0">SUM(L3:L7)</f>
        <v>27365.840000000004</v>
      </c>
    </row>
    <row r="9" spans="1:12" s="58" customFormat="1" x14ac:dyDescent="0.25">
      <c r="A9" s="135" t="s">
        <v>150</v>
      </c>
      <c r="B9" s="49"/>
      <c r="C9" s="92"/>
      <c r="D9" s="92"/>
      <c r="E9" s="286"/>
      <c r="F9" s="159"/>
      <c r="G9" s="266"/>
      <c r="H9" s="279"/>
      <c r="I9" s="399"/>
      <c r="J9" s="279"/>
      <c r="K9" s="399"/>
      <c r="L9" s="439"/>
    </row>
    <row r="10" spans="1:12" x14ac:dyDescent="0.25">
      <c r="A10" s="82" t="s">
        <v>173</v>
      </c>
      <c r="B10" s="88" t="s">
        <v>174</v>
      </c>
      <c r="C10" s="62">
        <v>64.8</v>
      </c>
      <c r="D10" s="62">
        <v>1000</v>
      </c>
      <c r="E10" s="62">
        <v>0</v>
      </c>
      <c r="F10" s="164">
        <v>1000</v>
      </c>
      <c r="G10" s="268">
        <v>371.84</v>
      </c>
      <c r="H10" s="253">
        <v>1000</v>
      </c>
      <c r="I10" s="382">
        <v>1000</v>
      </c>
      <c r="J10" s="253"/>
      <c r="K10" s="382">
        <v>1000</v>
      </c>
      <c r="L10" s="425"/>
    </row>
    <row r="11" spans="1:12" x14ac:dyDescent="0.25">
      <c r="A11" s="136" t="s">
        <v>151</v>
      </c>
      <c r="B11" s="91" t="s">
        <v>15</v>
      </c>
      <c r="C11" s="98">
        <v>0</v>
      </c>
      <c r="D11" s="73">
        <v>0</v>
      </c>
      <c r="E11" s="98">
        <v>0</v>
      </c>
      <c r="F11" s="160">
        <v>0</v>
      </c>
      <c r="G11" s="267">
        <v>0</v>
      </c>
      <c r="H11" s="280">
        <v>0</v>
      </c>
      <c r="I11" s="400">
        <v>0</v>
      </c>
      <c r="J11" s="280"/>
      <c r="K11" s="400">
        <v>0</v>
      </c>
      <c r="L11" s="440">
        <v>39.5</v>
      </c>
    </row>
    <row r="12" spans="1:12" x14ac:dyDescent="0.25">
      <c r="A12" s="82" t="s">
        <v>151</v>
      </c>
      <c r="B12" s="5" t="s">
        <v>154</v>
      </c>
      <c r="C12" s="62">
        <v>45366.63</v>
      </c>
      <c r="D12" s="37">
        <v>6000</v>
      </c>
      <c r="E12" s="62">
        <f>3005.7+2890.67</f>
        <v>5896.37</v>
      </c>
      <c r="F12" s="161">
        <v>6000</v>
      </c>
      <c r="G12" s="264">
        <v>546.99</v>
      </c>
      <c r="H12" s="277">
        <v>20000</v>
      </c>
      <c r="I12" s="396">
        <v>20000</v>
      </c>
      <c r="J12" s="277"/>
      <c r="K12" s="396">
        <v>20000</v>
      </c>
      <c r="L12" s="436"/>
    </row>
    <row r="13" spans="1:12" x14ac:dyDescent="0.25">
      <c r="A13" s="137"/>
      <c r="B13" s="40" t="s">
        <v>153</v>
      </c>
      <c r="C13" s="98">
        <v>775.56</v>
      </c>
      <c r="D13" s="73">
        <v>500</v>
      </c>
      <c r="E13" s="98">
        <v>0</v>
      </c>
      <c r="F13" s="160">
        <v>500</v>
      </c>
      <c r="G13" s="267">
        <v>22</v>
      </c>
      <c r="H13" s="280">
        <v>500</v>
      </c>
      <c r="I13" s="400">
        <v>500</v>
      </c>
      <c r="J13" s="280"/>
      <c r="K13" s="400">
        <v>500</v>
      </c>
      <c r="L13" s="440">
        <v>107.22</v>
      </c>
    </row>
    <row r="14" spans="1:12" x14ac:dyDescent="0.25">
      <c r="A14" s="81" t="s">
        <v>152</v>
      </c>
      <c r="B14" s="51" t="s">
        <v>155</v>
      </c>
      <c r="C14" s="62"/>
      <c r="D14" s="37">
        <v>750</v>
      </c>
      <c r="E14" s="62">
        <v>147.13999999999999</v>
      </c>
      <c r="F14" s="161">
        <v>5000</v>
      </c>
      <c r="G14" s="264">
        <v>2992.19</v>
      </c>
      <c r="H14" s="277">
        <v>3000</v>
      </c>
      <c r="I14" s="396">
        <v>3000</v>
      </c>
      <c r="J14" s="277"/>
      <c r="K14" s="396">
        <v>3000</v>
      </c>
      <c r="L14" s="436"/>
    </row>
    <row r="15" spans="1:12" x14ac:dyDescent="0.25">
      <c r="A15" s="82" t="s">
        <v>317</v>
      </c>
      <c r="B15" s="5" t="s">
        <v>156</v>
      </c>
      <c r="C15" s="62"/>
      <c r="D15" s="37">
        <v>1000</v>
      </c>
      <c r="E15" s="62">
        <v>30.88</v>
      </c>
      <c r="F15" s="157">
        <v>1000</v>
      </c>
      <c r="G15" s="264">
        <v>140.43</v>
      </c>
      <c r="H15" s="277">
        <v>500</v>
      </c>
      <c r="I15" s="396">
        <v>500</v>
      </c>
      <c r="J15" s="192"/>
      <c r="K15" s="396">
        <v>500</v>
      </c>
      <c r="L15" s="436">
        <v>2173.92</v>
      </c>
    </row>
    <row r="16" spans="1:12" x14ac:dyDescent="0.25">
      <c r="A16" s="138" t="s">
        <v>157</v>
      </c>
      <c r="B16" s="87" t="s">
        <v>158</v>
      </c>
      <c r="C16" s="62"/>
      <c r="D16" s="37">
        <v>0</v>
      </c>
      <c r="E16" s="62">
        <v>0</v>
      </c>
      <c r="F16" s="161">
        <v>0</v>
      </c>
      <c r="G16" s="264">
        <v>43756.86</v>
      </c>
      <c r="H16" s="277"/>
      <c r="I16" s="396"/>
      <c r="J16" s="277"/>
      <c r="K16" s="396"/>
      <c r="L16" s="436"/>
    </row>
    <row r="17" spans="1:12" x14ac:dyDescent="0.25">
      <c r="A17" s="137" t="s">
        <v>159</v>
      </c>
      <c r="B17" s="40" t="s">
        <v>160</v>
      </c>
      <c r="C17" s="98">
        <v>3989.16</v>
      </c>
      <c r="D17" s="73">
        <v>10000</v>
      </c>
      <c r="E17" s="98">
        <v>5572.35</v>
      </c>
      <c r="F17" s="162">
        <v>10000</v>
      </c>
      <c r="G17" s="192">
        <v>0</v>
      </c>
      <c r="H17" s="280">
        <v>10000</v>
      </c>
      <c r="I17" s="400">
        <v>10000</v>
      </c>
      <c r="J17" s="280"/>
      <c r="K17" s="400">
        <v>10000</v>
      </c>
      <c r="L17" s="440"/>
    </row>
    <row r="18" spans="1:12" x14ac:dyDescent="0.25">
      <c r="A18" s="82" t="s">
        <v>157</v>
      </c>
      <c r="B18" s="5" t="s">
        <v>161</v>
      </c>
      <c r="C18" s="62">
        <v>24342.23</v>
      </c>
      <c r="D18" s="37">
        <v>30000</v>
      </c>
      <c r="E18" s="62">
        <v>26264.94</v>
      </c>
      <c r="F18" s="161">
        <v>30000</v>
      </c>
      <c r="G18" s="192">
        <v>0</v>
      </c>
      <c r="H18" s="277">
        <v>40000</v>
      </c>
      <c r="I18" s="396">
        <v>40000</v>
      </c>
      <c r="J18" s="277"/>
      <c r="K18" s="396">
        <v>40000</v>
      </c>
      <c r="L18" s="436">
        <v>15932.09</v>
      </c>
    </row>
    <row r="19" spans="1:12" x14ac:dyDescent="0.25">
      <c r="A19" s="82" t="s">
        <v>162</v>
      </c>
      <c r="B19" s="5" t="s">
        <v>163</v>
      </c>
      <c r="C19" s="62">
        <v>263.33</v>
      </c>
      <c r="D19" s="37">
        <v>5000</v>
      </c>
      <c r="E19" s="62">
        <v>1337</v>
      </c>
      <c r="F19" s="161">
        <v>5000</v>
      </c>
      <c r="G19" s="192">
        <v>0</v>
      </c>
      <c r="H19" s="277">
        <v>6000</v>
      </c>
      <c r="I19" s="396">
        <v>6000</v>
      </c>
      <c r="J19" s="277"/>
      <c r="K19" s="396">
        <v>6000</v>
      </c>
      <c r="L19" s="436"/>
    </row>
    <row r="20" spans="1:12" x14ac:dyDescent="0.25">
      <c r="A20" s="82" t="s">
        <v>177</v>
      </c>
      <c r="B20" s="88" t="s">
        <v>156</v>
      </c>
      <c r="C20" s="62">
        <v>835</v>
      </c>
      <c r="D20" s="62">
        <v>0</v>
      </c>
      <c r="E20" s="62">
        <v>0</v>
      </c>
      <c r="F20" s="164">
        <v>0</v>
      </c>
      <c r="G20" s="268">
        <v>0</v>
      </c>
      <c r="H20" s="253">
        <v>0</v>
      </c>
      <c r="I20" s="382">
        <v>0</v>
      </c>
      <c r="J20" s="253"/>
      <c r="K20" s="382">
        <v>0</v>
      </c>
      <c r="L20" s="425"/>
    </row>
    <row r="21" spans="1:12" x14ac:dyDescent="0.25">
      <c r="A21" s="82" t="s">
        <v>178</v>
      </c>
      <c r="B21" s="88" t="s">
        <v>179</v>
      </c>
      <c r="C21" s="62">
        <v>220</v>
      </c>
      <c r="D21" s="62">
        <v>3500</v>
      </c>
      <c r="E21" s="62">
        <v>2670</v>
      </c>
      <c r="F21" s="164">
        <v>3000</v>
      </c>
      <c r="G21" s="268">
        <v>1719.19</v>
      </c>
      <c r="H21" s="253">
        <v>1500</v>
      </c>
      <c r="I21" s="382">
        <v>1500</v>
      </c>
      <c r="J21" s="253"/>
      <c r="K21" s="382">
        <v>1500</v>
      </c>
      <c r="L21" s="425">
        <v>3375</v>
      </c>
    </row>
    <row r="22" spans="1:12" x14ac:dyDescent="0.25">
      <c r="A22" s="82" t="s">
        <v>318</v>
      </c>
      <c r="B22" s="88" t="s">
        <v>319</v>
      </c>
      <c r="C22" s="62">
        <v>64.8</v>
      </c>
      <c r="D22" s="62">
        <v>1000</v>
      </c>
      <c r="E22" s="62">
        <v>0</v>
      </c>
      <c r="F22" s="164">
        <v>0</v>
      </c>
      <c r="G22" s="268">
        <v>6874.74</v>
      </c>
      <c r="H22" s="253">
        <v>0</v>
      </c>
      <c r="I22" s="382">
        <v>0</v>
      </c>
      <c r="J22" s="253"/>
      <c r="K22" s="382">
        <v>0</v>
      </c>
      <c r="L22" s="425"/>
    </row>
    <row r="23" spans="1:12" x14ac:dyDescent="0.25">
      <c r="A23" s="82" t="s">
        <v>180</v>
      </c>
      <c r="B23" s="88" t="s">
        <v>181</v>
      </c>
      <c r="C23" s="62"/>
      <c r="D23" s="62">
        <v>1000</v>
      </c>
      <c r="E23" s="62">
        <v>0</v>
      </c>
      <c r="F23" s="164">
        <v>1000</v>
      </c>
      <c r="G23" s="268">
        <v>600</v>
      </c>
      <c r="H23" s="253">
        <v>1000</v>
      </c>
      <c r="I23" s="382">
        <v>1000</v>
      </c>
      <c r="J23" s="253"/>
      <c r="K23" s="382">
        <v>1000</v>
      </c>
      <c r="L23" s="425"/>
    </row>
    <row r="24" spans="1:12" x14ac:dyDescent="0.25">
      <c r="A24" s="82"/>
      <c r="B24" s="152" t="s">
        <v>107</v>
      </c>
      <c r="C24" s="62"/>
      <c r="D24" s="37"/>
      <c r="E24" s="62"/>
      <c r="F24" s="161"/>
      <c r="G24" s="264"/>
      <c r="H24" s="277"/>
      <c r="I24" s="396"/>
      <c r="J24" s="277"/>
      <c r="K24" s="396"/>
      <c r="L24" s="436"/>
    </row>
    <row r="25" spans="1:12" x14ac:dyDescent="0.25">
      <c r="A25" s="82" t="s">
        <v>316</v>
      </c>
      <c r="B25" s="5" t="s">
        <v>164</v>
      </c>
      <c r="C25" s="62">
        <v>0</v>
      </c>
      <c r="D25" s="37">
        <v>0</v>
      </c>
      <c r="E25" s="62">
        <v>883.47</v>
      </c>
      <c r="F25" s="163">
        <v>7500</v>
      </c>
      <c r="G25" s="268">
        <v>621.33000000000004</v>
      </c>
      <c r="H25" s="253">
        <v>1500</v>
      </c>
      <c r="I25" s="382">
        <v>1500</v>
      </c>
      <c r="J25" s="253"/>
      <c r="K25" s="382">
        <v>1500</v>
      </c>
      <c r="L25" s="425"/>
    </row>
    <row r="26" spans="1:12" x14ac:dyDescent="0.25">
      <c r="A26" s="82" t="s">
        <v>165</v>
      </c>
      <c r="B26" s="5" t="s">
        <v>166</v>
      </c>
      <c r="C26" s="62">
        <v>1874.87</v>
      </c>
      <c r="D26" s="62">
        <v>2500</v>
      </c>
      <c r="E26" s="62">
        <v>1996</v>
      </c>
      <c r="F26" s="164">
        <v>3000</v>
      </c>
      <c r="G26" s="268">
        <v>501.3</v>
      </c>
      <c r="H26" s="253">
        <v>4500</v>
      </c>
      <c r="I26" s="382">
        <v>4500</v>
      </c>
      <c r="J26" s="253"/>
      <c r="K26" s="382">
        <v>4500</v>
      </c>
      <c r="L26" s="425"/>
    </row>
    <row r="27" spans="1:12" x14ac:dyDescent="0.25">
      <c r="A27" s="82" t="s">
        <v>167</v>
      </c>
      <c r="B27" s="5" t="s">
        <v>168</v>
      </c>
      <c r="C27" s="62">
        <v>6724.01</v>
      </c>
      <c r="D27" s="62">
        <v>7000</v>
      </c>
      <c r="E27" s="62">
        <v>9797.51</v>
      </c>
      <c r="F27" s="164">
        <v>7000</v>
      </c>
      <c r="G27" s="268">
        <v>3203.53</v>
      </c>
      <c r="H27" s="253">
        <v>5000</v>
      </c>
      <c r="I27" s="382">
        <v>5000</v>
      </c>
      <c r="J27" s="343"/>
      <c r="K27" s="382">
        <v>5000</v>
      </c>
      <c r="L27" s="425">
        <v>19944.740000000002</v>
      </c>
    </row>
    <row r="28" spans="1:12" x14ac:dyDescent="0.25">
      <c r="A28" s="82" t="s">
        <v>169</v>
      </c>
      <c r="B28" s="5" t="s">
        <v>170</v>
      </c>
      <c r="C28" s="62">
        <v>2213.0700000000002</v>
      </c>
      <c r="D28" s="62">
        <v>3500</v>
      </c>
      <c r="E28" s="62">
        <v>9618.61</v>
      </c>
      <c r="F28" s="164">
        <v>5000</v>
      </c>
      <c r="G28" s="268">
        <v>1764.54</v>
      </c>
      <c r="H28" s="253">
        <v>3000</v>
      </c>
      <c r="I28" s="382">
        <v>3000</v>
      </c>
      <c r="J28" s="253"/>
      <c r="K28" s="382">
        <v>3000</v>
      </c>
      <c r="L28" s="425">
        <v>1395.25</v>
      </c>
    </row>
    <row r="29" spans="1:12" x14ac:dyDescent="0.25">
      <c r="A29" s="82" t="s">
        <v>171</v>
      </c>
      <c r="B29" s="88" t="s">
        <v>156</v>
      </c>
      <c r="C29" s="62"/>
      <c r="D29" s="62">
        <v>100</v>
      </c>
      <c r="E29" s="62">
        <v>280</v>
      </c>
      <c r="F29" s="164">
        <v>100</v>
      </c>
      <c r="G29" s="268">
        <v>0</v>
      </c>
      <c r="H29" s="253">
        <v>0</v>
      </c>
      <c r="I29" s="382">
        <v>0</v>
      </c>
      <c r="J29" s="253"/>
      <c r="K29" s="382">
        <v>0</v>
      </c>
      <c r="L29" s="425"/>
    </row>
    <row r="30" spans="1:12" x14ac:dyDescent="0.25">
      <c r="A30" s="82"/>
      <c r="B30" s="153" t="s">
        <v>172</v>
      </c>
      <c r="C30" s="62"/>
      <c r="D30" s="62"/>
      <c r="E30" s="62"/>
      <c r="F30" s="164"/>
      <c r="G30" s="268"/>
      <c r="H30" s="253"/>
      <c r="I30" s="382"/>
      <c r="J30" s="253"/>
      <c r="K30" s="382"/>
      <c r="L30" s="425"/>
    </row>
    <row r="31" spans="1:12" x14ac:dyDescent="0.25">
      <c r="A31" s="82" t="s">
        <v>175</v>
      </c>
      <c r="B31" s="88" t="s">
        <v>176</v>
      </c>
      <c r="C31" s="62">
        <v>1166.8800000000001</v>
      </c>
      <c r="D31" s="62">
        <v>2500</v>
      </c>
      <c r="E31" s="62">
        <v>1056.8800000000001</v>
      </c>
      <c r="F31" s="164">
        <v>2000</v>
      </c>
      <c r="G31" s="269">
        <v>2247.35</v>
      </c>
      <c r="H31" s="253">
        <v>2500</v>
      </c>
      <c r="I31" s="382">
        <v>2500</v>
      </c>
      <c r="J31" s="253"/>
      <c r="K31" s="382">
        <v>2500</v>
      </c>
      <c r="L31" s="425">
        <v>1381.05</v>
      </c>
    </row>
    <row r="32" spans="1:12" x14ac:dyDescent="0.25">
      <c r="A32" s="137" t="s">
        <v>182</v>
      </c>
      <c r="B32" s="89" t="s">
        <v>183</v>
      </c>
      <c r="C32" s="98">
        <v>2135</v>
      </c>
      <c r="D32" s="98">
        <v>4000</v>
      </c>
      <c r="E32" s="98">
        <v>0</v>
      </c>
      <c r="F32" s="165">
        <v>4000</v>
      </c>
      <c r="G32" s="269">
        <v>0</v>
      </c>
      <c r="H32" s="253">
        <v>4000</v>
      </c>
      <c r="I32" s="378">
        <v>4000</v>
      </c>
      <c r="J32" s="258"/>
      <c r="K32" s="378">
        <v>4000</v>
      </c>
      <c r="L32" s="421"/>
    </row>
    <row r="33" spans="1:12" x14ac:dyDescent="0.25">
      <c r="A33" s="82" t="s">
        <v>184</v>
      </c>
      <c r="B33" s="88" t="s">
        <v>103</v>
      </c>
      <c r="C33" s="62"/>
      <c r="D33" s="62">
        <v>720</v>
      </c>
      <c r="E33" s="62">
        <v>80</v>
      </c>
      <c r="F33" s="164">
        <v>720</v>
      </c>
      <c r="G33" s="269">
        <v>0</v>
      </c>
      <c r="H33" s="253">
        <v>0</v>
      </c>
      <c r="I33" s="382">
        <v>0</v>
      </c>
      <c r="J33" s="253"/>
      <c r="K33" s="382">
        <v>0</v>
      </c>
      <c r="L33" s="425"/>
    </row>
    <row r="34" spans="1:12" x14ac:dyDescent="0.25">
      <c r="A34" s="82" t="s">
        <v>185</v>
      </c>
      <c r="B34" s="88" t="s">
        <v>186</v>
      </c>
      <c r="C34" s="62">
        <v>1223</v>
      </c>
      <c r="D34" s="62">
        <v>1616.64</v>
      </c>
      <c r="E34" s="62">
        <v>1075</v>
      </c>
      <c r="F34" s="164">
        <v>1381.8899999999999</v>
      </c>
      <c r="G34" s="268">
        <v>790</v>
      </c>
      <c r="H34" s="253">
        <v>2000</v>
      </c>
      <c r="I34" s="382">
        <v>2000</v>
      </c>
      <c r="J34" s="253"/>
      <c r="K34" s="382">
        <v>2000</v>
      </c>
      <c r="L34" s="425">
        <v>1015</v>
      </c>
    </row>
    <row r="35" spans="1:12" x14ac:dyDescent="0.25">
      <c r="A35" s="82" t="s">
        <v>187</v>
      </c>
      <c r="B35" s="88" t="s">
        <v>188</v>
      </c>
      <c r="C35" s="62">
        <f>628+375</f>
        <v>1003</v>
      </c>
      <c r="D35" s="110">
        <v>0</v>
      </c>
      <c r="E35" s="62">
        <v>213</v>
      </c>
      <c r="F35" s="166">
        <v>0</v>
      </c>
      <c r="G35" s="270">
        <v>0</v>
      </c>
      <c r="H35" s="253">
        <f t="shared" ref="H35:H37" si="1">F35-G35</f>
        <v>0</v>
      </c>
      <c r="I35" s="401">
        <v>0</v>
      </c>
      <c r="J35" s="501"/>
      <c r="K35" s="401">
        <v>0</v>
      </c>
      <c r="L35" s="441"/>
    </row>
    <row r="36" spans="1:12" x14ac:dyDescent="0.25">
      <c r="A36" s="82" t="s">
        <v>189</v>
      </c>
      <c r="B36" s="88" t="s">
        <v>131</v>
      </c>
      <c r="C36" s="62">
        <v>2179.4299999999998</v>
      </c>
      <c r="D36" s="110">
        <v>4000</v>
      </c>
      <c r="E36" s="62">
        <v>2373.36</v>
      </c>
      <c r="F36" s="166">
        <v>4000</v>
      </c>
      <c r="G36" s="270">
        <v>6101.97</v>
      </c>
      <c r="H36" s="253">
        <v>4500</v>
      </c>
      <c r="I36" s="401">
        <v>4500</v>
      </c>
      <c r="J36" s="501"/>
      <c r="K36" s="401">
        <v>4500</v>
      </c>
      <c r="L36" s="441">
        <v>2578.79</v>
      </c>
    </row>
    <row r="37" spans="1:12" x14ac:dyDescent="0.25">
      <c r="A37" s="82" t="s">
        <v>190</v>
      </c>
      <c r="B37" s="88" t="s">
        <v>191</v>
      </c>
      <c r="C37" s="62">
        <v>7850</v>
      </c>
      <c r="D37" s="110">
        <v>9000</v>
      </c>
      <c r="E37" s="62">
        <v>10070</v>
      </c>
      <c r="F37" s="166">
        <v>11000</v>
      </c>
      <c r="G37" s="270"/>
      <c r="H37" s="253">
        <f t="shared" si="1"/>
        <v>11000</v>
      </c>
      <c r="I37" s="401">
        <v>11000</v>
      </c>
      <c r="J37" s="503"/>
      <c r="K37" s="401">
        <v>11000</v>
      </c>
      <c r="L37" s="441"/>
    </row>
    <row r="38" spans="1:12" x14ac:dyDescent="0.25">
      <c r="A38" s="347">
        <v>6560</v>
      </c>
      <c r="B38" s="353" t="s">
        <v>139</v>
      </c>
      <c r="C38" s="349"/>
      <c r="D38" s="354"/>
      <c r="E38" s="349">
        <v>0</v>
      </c>
      <c r="F38" s="355">
        <v>0</v>
      </c>
      <c r="G38" s="357">
        <v>400.7</v>
      </c>
      <c r="H38" s="356">
        <v>0</v>
      </c>
      <c r="I38" s="402">
        <v>0</v>
      </c>
      <c r="J38" s="502"/>
      <c r="K38" s="402">
        <v>0</v>
      </c>
      <c r="L38" s="442"/>
    </row>
    <row r="39" spans="1:12" s="38" customFormat="1" ht="16.5" thickBot="1" x14ac:dyDescent="0.3">
      <c r="A39" s="54" t="s">
        <v>85</v>
      </c>
      <c r="B39" s="90"/>
      <c r="C39" s="111">
        <f>SUM(C11:C37)</f>
        <v>102225.96999999999</v>
      </c>
      <c r="D39" s="111">
        <f>SUM(D11:D37)</f>
        <v>93686.64</v>
      </c>
      <c r="E39" s="287">
        <f>SUM(E11:E37)</f>
        <v>79362.510000000009</v>
      </c>
      <c r="F39" s="167">
        <v>108201.89</v>
      </c>
      <c r="G39" s="271">
        <f>SUM(G9:G38)</f>
        <v>72654.960000000006</v>
      </c>
      <c r="H39" s="281">
        <f>SUM(H9:H38)</f>
        <v>121500</v>
      </c>
      <c r="I39" s="403">
        <v>121500</v>
      </c>
      <c r="J39" s="281">
        <f>SUM(J10:J38)</f>
        <v>0</v>
      </c>
      <c r="K39" s="403">
        <f t="shared" ref="K39:L39" si="2">SUM(K10:K38)</f>
        <v>121500</v>
      </c>
      <c r="L39" s="443">
        <f t="shared" si="2"/>
        <v>47942.560000000005</v>
      </c>
    </row>
    <row r="40" spans="1:12" x14ac:dyDescent="0.25">
      <c r="A40" s="139"/>
      <c r="C40" s="31"/>
      <c r="D40" s="131"/>
      <c r="F40" s="168"/>
      <c r="G40" s="272"/>
      <c r="H40" s="282"/>
      <c r="I40" s="404"/>
      <c r="J40" s="282"/>
      <c r="K40" s="404"/>
      <c r="L40" s="444"/>
    </row>
    <row r="41" spans="1:12" s="38" customFormat="1" ht="16.5" thickBot="1" x14ac:dyDescent="0.3">
      <c r="A41" s="54" t="s">
        <v>192</v>
      </c>
      <c r="B41" s="90"/>
      <c r="C41" s="111">
        <f>C8-C39</f>
        <v>106748.91000000002</v>
      </c>
      <c r="D41" s="111">
        <f>D8-D39</f>
        <v>0</v>
      </c>
      <c r="E41" s="287">
        <f>E8-E39</f>
        <v>123912.75999999998</v>
      </c>
      <c r="F41" s="191">
        <v>112162.76000000002</v>
      </c>
      <c r="G41" s="273">
        <f>G8-G39</f>
        <v>158070.66999999998</v>
      </c>
      <c r="H41" s="283">
        <f>H8-H39</f>
        <v>135779.29999999999</v>
      </c>
      <c r="I41" s="405">
        <v>135779.29999999999</v>
      </c>
      <c r="J41" s="283">
        <f>J8-J39</f>
        <v>0</v>
      </c>
      <c r="K41" s="405">
        <f t="shared" ref="K41:L41" si="3">K8-K39</f>
        <v>135779.29999999999</v>
      </c>
      <c r="L41" s="445">
        <f t="shared" si="3"/>
        <v>-20576.72</v>
      </c>
    </row>
  </sheetData>
  <mergeCells count="2">
    <mergeCell ref="A1:B1"/>
    <mergeCell ref="A8:B8"/>
  </mergeCells>
  <pageMargins left="0.7" right="0.7" top="1" bottom="0.75" header="0.55000000000000004" footer="0.3"/>
  <pageSetup scale="72" orientation="landscape" r:id="rId1"/>
  <headerFooter>
    <oddHeader>&amp;CFire Operating Account Homestead Township</oddHeader>
    <oddFooter>&amp;C&amp;D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L21"/>
  <sheetViews>
    <sheetView tabSelected="1" zoomScale="80" zoomScaleNormal="80" workbookViewId="0">
      <pane xSplit="2" ySplit="12" topLeftCell="J13" activePane="bottomRight" state="frozen"/>
      <selection pane="topRight" activeCell="C1" sqref="C1"/>
      <selection pane="bottomLeft" activeCell="A13" sqref="A13"/>
      <selection pane="bottomRight" activeCell="L11" sqref="L11"/>
    </sheetView>
  </sheetViews>
  <sheetFormatPr defaultRowHeight="15.75" x14ac:dyDescent="0.25"/>
  <cols>
    <col min="1" max="1" width="12.7109375" bestFit="1" customWidth="1"/>
    <col min="2" max="2" width="38.28515625" customWidth="1"/>
    <col min="3" max="4" width="15.7109375" style="32" hidden="1" customWidth="1"/>
    <col min="5" max="5" width="16.7109375" style="30" customWidth="1"/>
    <col min="6" max="8" width="16.5703125" hidden="1" customWidth="1"/>
    <col min="9" max="12" width="16.5703125" customWidth="1"/>
  </cols>
  <sheetData>
    <row r="1" spans="1:12" s="38" customFormat="1" ht="35.25" customHeight="1" thickBot="1" x14ac:dyDescent="0.35">
      <c r="A1" s="511" t="s">
        <v>0</v>
      </c>
      <c r="B1" s="512"/>
      <c r="C1" s="126" t="s">
        <v>193</v>
      </c>
      <c r="D1" s="126" t="s">
        <v>4</v>
      </c>
      <c r="E1" s="126" t="s">
        <v>5</v>
      </c>
      <c r="F1" s="127" t="s">
        <v>194</v>
      </c>
      <c r="G1" s="239" t="s">
        <v>244</v>
      </c>
      <c r="H1" s="250" t="s">
        <v>243</v>
      </c>
      <c r="I1" s="362" t="s">
        <v>337</v>
      </c>
      <c r="J1" s="223" t="s">
        <v>338</v>
      </c>
      <c r="K1" s="362" t="s">
        <v>339</v>
      </c>
      <c r="L1" s="409" t="s">
        <v>341</v>
      </c>
    </row>
    <row r="2" spans="1:12" ht="16.5" thickBot="1" x14ac:dyDescent="0.3">
      <c r="A2" s="205"/>
      <c r="B2" s="206" t="s">
        <v>10</v>
      </c>
      <c r="C2" s="230">
        <f>25717.1+34334.57</f>
        <v>60051.67</v>
      </c>
      <c r="D2" s="230">
        <v>0</v>
      </c>
      <c r="E2" s="230">
        <v>25717.1</v>
      </c>
      <c r="F2" s="231">
        <v>149986.87</v>
      </c>
      <c r="G2" s="360">
        <v>150525.72</v>
      </c>
      <c r="H2" s="251">
        <f>G18</f>
        <v>68124.929999999993</v>
      </c>
      <c r="I2" s="386">
        <v>68124.929999999993</v>
      </c>
      <c r="J2" s="294"/>
      <c r="K2" s="386">
        <v>68124.929999999993</v>
      </c>
      <c r="L2" s="428"/>
    </row>
    <row r="3" spans="1:12" x14ac:dyDescent="0.25">
      <c r="A3" s="227" t="s">
        <v>144</v>
      </c>
      <c r="B3" s="228" t="s">
        <v>145</v>
      </c>
      <c r="C3" s="57">
        <v>9513.56</v>
      </c>
      <c r="D3" s="57">
        <v>9995.48</v>
      </c>
      <c r="E3" s="57">
        <v>9995.48</v>
      </c>
      <c r="F3" s="229">
        <v>10329.81</v>
      </c>
      <c r="G3" s="240">
        <v>10324.81</v>
      </c>
      <c r="H3" s="252">
        <v>10603.9</v>
      </c>
      <c r="I3" s="387">
        <v>10603.9</v>
      </c>
      <c r="J3" s="257"/>
      <c r="K3" s="387">
        <v>10603.9</v>
      </c>
      <c r="L3" s="429">
        <v>10603.9</v>
      </c>
    </row>
    <row r="4" spans="1:12" x14ac:dyDescent="0.25">
      <c r="A4" s="82" t="s">
        <v>266</v>
      </c>
      <c r="B4" s="5" t="s">
        <v>146</v>
      </c>
      <c r="C4" s="37"/>
      <c r="D4" s="37">
        <v>0</v>
      </c>
      <c r="E4" s="59">
        <v>4584.8999999999996</v>
      </c>
      <c r="F4" s="164">
        <v>0</v>
      </c>
      <c r="G4" s="241">
        <v>3209.37</v>
      </c>
      <c r="H4" s="253">
        <v>0</v>
      </c>
      <c r="I4" s="382">
        <v>0</v>
      </c>
      <c r="J4" s="253"/>
      <c r="K4" s="382">
        <v>0</v>
      </c>
      <c r="L4" s="425">
        <v>3026.24</v>
      </c>
    </row>
    <row r="5" spans="1:12" x14ac:dyDescent="0.25">
      <c r="A5" s="82"/>
      <c r="B5" s="5" t="s">
        <v>195</v>
      </c>
      <c r="C5" s="37"/>
      <c r="D5" s="37">
        <v>0</v>
      </c>
      <c r="E5" s="59">
        <v>10000</v>
      </c>
      <c r="F5" s="164">
        <v>0</v>
      </c>
      <c r="G5" s="241">
        <v>0</v>
      </c>
      <c r="H5" s="253">
        <v>0</v>
      </c>
      <c r="I5" s="382">
        <v>0</v>
      </c>
      <c r="J5" s="253"/>
      <c r="K5" s="382">
        <v>0</v>
      </c>
      <c r="L5" s="425"/>
    </row>
    <row r="6" spans="1:12" x14ac:dyDescent="0.25">
      <c r="A6" s="82" t="s">
        <v>147</v>
      </c>
      <c r="B6" s="5" t="s">
        <v>54</v>
      </c>
      <c r="C6" s="37"/>
      <c r="D6" s="37">
        <v>0</v>
      </c>
      <c r="E6" s="59">
        <v>0</v>
      </c>
      <c r="F6" s="164">
        <v>0</v>
      </c>
      <c r="G6" s="241">
        <v>0</v>
      </c>
      <c r="H6" s="253">
        <v>0</v>
      </c>
      <c r="I6" s="382">
        <v>0</v>
      </c>
      <c r="J6" s="253"/>
      <c r="K6" s="382">
        <v>0</v>
      </c>
      <c r="L6" s="425">
        <f>0.48+0.24</f>
        <v>0.72</v>
      </c>
    </row>
    <row r="7" spans="1:12" x14ac:dyDescent="0.25">
      <c r="A7" s="82"/>
      <c r="B7" s="5" t="s">
        <v>196</v>
      </c>
      <c r="C7" s="37"/>
      <c r="D7" s="37">
        <v>0</v>
      </c>
      <c r="E7" s="60">
        <v>100176.26</v>
      </c>
      <c r="F7" s="164">
        <v>139823.74</v>
      </c>
      <c r="G7" s="241">
        <v>140057.84</v>
      </c>
      <c r="H7" s="253">
        <v>0</v>
      </c>
      <c r="I7" s="382">
        <v>0</v>
      </c>
      <c r="J7" s="253"/>
      <c r="K7" s="382">
        <v>0</v>
      </c>
      <c r="L7" s="425"/>
    </row>
    <row r="8" spans="1:12" ht="16.5" thickBot="1" x14ac:dyDescent="0.3">
      <c r="A8" s="234" t="s">
        <v>148</v>
      </c>
      <c r="B8" s="235" t="s">
        <v>265</v>
      </c>
      <c r="C8" s="236">
        <v>31832.87</v>
      </c>
      <c r="D8" s="236">
        <v>36847.839999999997</v>
      </c>
      <c r="E8" s="237">
        <v>34637.99</v>
      </c>
      <c r="F8" s="238">
        <v>37891.75</v>
      </c>
      <c r="G8" s="345">
        <f>39259.39+236.07+7984.89</f>
        <v>47480.35</v>
      </c>
      <c r="H8" s="254">
        <v>38958.5</v>
      </c>
      <c r="I8" s="381">
        <v>38958.5</v>
      </c>
      <c r="J8" s="259"/>
      <c r="K8" s="381">
        <v>38958.5</v>
      </c>
      <c r="L8" s="424"/>
    </row>
    <row r="9" spans="1:12" s="38" customFormat="1" ht="16.5" thickBot="1" x14ac:dyDescent="0.3">
      <c r="A9" s="517" t="s">
        <v>75</v>
      </c>
      <c r="B9" s="518"/>
      <c r="C9" s="232">
        <f>SUM(C2:C8)</f>
        <v>101398.09999999999</v>
      </c>
      <c r="D9" s="232">
        <f>SUM(D2:D8)</f>
        <v>46843.319999999992</v>
      </c>
      <c r="E9" s="232">
        <f>SUM(E2:E8)</f>
        <v>185111.72999999998</v>
      </c>
      <c r="F9" s="233">
        <v>338032.17</v>
      </c>
      <c r="G9" s="242">
        <f>SUM(G2:G8)</f>
        <v>351598.08999999997</v>
      </c>
      <c r="H9" s="255">
        <f>SUM(H2:H8)</f>
        <v>117687.32999999999</v>
      </c>
      <c r="I9" s="380">
        <v>117687.32999999999</v>
      </c>
      <c r="J9" s="260">
        <f>SUM(J3:J8)</f>
        <v>0</v>
      </c>
      <c r="K9" s="380">
        <f>SUM(K2:K8)</f>
        <v>117687.32999999999</v>
      </c>
      <c r="L9" s="423">
        <f t="shared" ref="L9" si="0">SUM(L3:L8)</f>
        <v>13630.859999999999</v>
      </c>
    </row>
    <row r="10" spans="1:12" x14ac:dyDescent="0.25">
      <c r="A10" s="42" t="s">
        <v>150</v>
      </c>
      <c r="B10" s="18"/>
      <c r="C10" s="31"/>
      <c r="D10" s="31"/>
      <c r="F10" s="173"/>
      <c r="G10" s="243"/>
      <c r="H10" s="256"/>
      <c r="I10" s="406"/>
      <c r="J10" s="256"/>
      <c r="K10" s="406"/>
      <c r="L10" s="446"/>
    </row>
    <row r="11" spans="1:12" x14ac:dyDescent="0.25">
      <c r="A11" s="82" t="s">
        <v>197</v>
      </c>
      <c r="B11" s="5" t="s">
        <v>198</v>
      </c>
      <c r="C11" s="37">
        <v>75681</v>
      </c>
      <c r="D11" s="37">
        <v>0</v>
      </c>
      <c r="E11" s="59">
        <v>49704.01</v>
      </c>
      <c r="F11" s="174">
        <v>49704.01</v>
      </c>
      <c r="G11" s="244">
        <v>49704.01</v>
      </c>
      <c r="H11" s="257">
        <f>G11</f>
        <v>49704.01</v>
      </c>
      <c r="I11" s="387">
        <v>49704.01</v>
      </c>
      <c r="J11" s="257"/>
      <c r="K11" s="387">
        <v>49704.01</v>
      </c>
      <c r="L11" s="429">
        <v>52189.21</v>
      </c>
    </row>
    <row r="12" spans="1:12" x14ac:dyDescent="0.25">
      <c r="A12" s="137"/>
      <c r="B12" s="40" t="s">
        <v>199</v>
      </c>
      <c r="C12" s="73">
        <v>0</v>
      </c>
      <c r="D12" s="73">
        <v>0</v>
      </c>
      <c r="E12" s="97">
        <f>-10600-13987</f>
        <v>-24587</v>
      </c>
      <c r="F12" s="165">
        <v>0</v>
      </c>
      <c r="G12" s="245">
        <v>0</v>
      </c>
      <c r="H12" s="258">
        <v>0</v>
      </c>
      <c r="I12" s="378">
        <v>0</v>
      </c>
      <c r="J12" s="258"/>
      <c r="K12" s="378">
        <v>0</v>
      </c>
      <c r="L12" s="421"/>
    </row>
    <row r="13" spans="1:12" x14ac:dyDescent="0.25">
      <c r="A13" s="82"/>
      <c r="B13" s="5" t="s">
        <v>200</v>
      </c>
      <c r="C13" s="37">
        <v>0</v>
      </c>
      <c r="D13" s="37">
        <v>0</v>
      </c>
      <c r="E13" s="59">
        <v>0</v>
      </c>
      <c r="F13" s="164">
        <v>240000</v>
      </c>
      <c r="G13" s="241">
        <v>233769.15</v>
      </c>
      <c r="H13" s="253">
        <v>7460.95</v>
      </c>
      <c r="I13" s="382">
        <v>7460.95</v>
      </c>
      <c r="J13" s="253"/>
      <c r="K13" s="382">
        <v>7460.95</v>
      </c>
      <c r="L13" s="425"/>
    </row>
    <row r="14" spans="1:12" x14ac:dyDescent="0.25">
      <c r="A14" s="82"/>
      <c r="B14" s="5" t="s">
        <v>201</v>
      </c>
      <c r="C14" s="37">
        <v>0</v>
      </c>
      <c r="D14" s="37">
        <v>0</v>
      </c>
      <c r="E14" s="59">
        <v>10000</v>
      </c>
      <c r="F14" s="164">
        <v>0</v>
      </c>
      <c r="G14" s="241">
        <v>0</v>
      </c>
      <c r="H14" s="253">
        <v>0</v>
      </c>
      <c r="I14" s="382">
        <v>0</v>
      </c>
      <c r="J14" s="253"/>
      <c r="K14" s="382">
        <v>0</v>
      </c>
      <c r="L14" s="425"/>
    </row>
    <row r="15" spans="1:12" x14ac:dyDescent="0.25">
      <c r="A15" s="43"/>
      <c r="B15" s="2" t="s">
        <v>202</v>
      </c>
      <c r="C15" s="31">
        <v>0</v>
      </c>
      <c r="D15" s="31">
        <v>0</v>
      </c>
      <c r="E15" s="30">
        <v>7.85</v>
      </c>
      <c r="F15" s="171">
        <v>0</v>
      </c>
      <c r="G15" s="246">
        <v>0</v>
      </c>
      <c r="H15" s="259">
        <v>0</v>
      </c>
      <c r="I15" s="381">
        <v>0</v>
      </c>
      <c r="J15" s="259"/>
      <c r="K15" s="381">
        <v>0</v>
      </c>
      <c r="L15" s="424"/>
    </row>
    <row r="16" spans="1:12" ht="16.5" thickBot="1" x14ac:dyDescent="0.3">
      <c r="A16" s="54" t="s">
        <v>85</v>
      </c>
      <c r="B16" s="63"/>
      <c r="C16" s="64">
        <f>SUM(C11:C15)</f>
        <v>75681</v>
      </c>
      <c r="D16" s="64">
        <f>SUM(D11:D15)</f>
        <v>0</v>
      </c>
      <c r="E16" s="85">
        <f>SUM(E11:E15)</f>
        <v>35124.86</v>
      </c>
      <c r="F16" s="172">
        <v>289704.01</v>
      </c>
      <c r="G16" s="247">
        <f>SUM(G11:G15)</f>
        <v>283473.15999999997</v>
      </c>
      <c r="H16" s="260">
        <f>SUM(H11:H15)</f>
        <v>57164.959999999999</v>
      </c>
      <c r="I16" s="380">
        <v>57164.959999999999</v>
      </c>
      <c r="J16" s="260">
        <f>SUM(J11:J15)</f>
        <v>0</v>
      </c>
      <c r="K16" s="380">
        <f t="shared" ref="K16:L16" si="1">SUM(K11:K15)</f>
        <v>57164.959999999999</v>
      </c>
      <c r="L16" s="423">
        <f t="shared" si="1"/>
        <v>52189.21</v>
      </c>
    </row>
    <row r="17" spans="1:12" x14ac:dyDescent="0.25">
      <c r="A17" s="83"/>
      <c r="B17" s="1"/>
      <c r="C17" s="65"/>
      <c r="D17" s="65"/>
      <c r="F17" s="173"/>
      <c r="G17" s="243"/>
      <c r="H17" s="256"/>
      <c r="I17" s="406"/>
      <c r="J17" s="256"/>
      <c r="K17" s="406"/>
      <c r="L17" s="446"/>
    </row>
    <row r="18" spans="1:12" s="38" customFormat="1" ht="16.5" thickBot="1" x14ac:dyDescent="0.3">
      <c r="A18" s="53" t="s">
        <v>203</v>
      </c>
      <c r="B18" s="78"/>
      <c r="C18" s="79">
        <f>C9-C16</f>
        <v>25717.099999999991</v>
      </c>
      <c r="D18" s="79">
        <f>D9-D16</f>
        <v>46843.319999999992</v>
      </c>
      <c r="E18" s="79">
        <f>E9-E16</f>
        <v>149986.87</v>
      </c>
      <c r="F18" s="175">
        <v>48328.159999999974</v>
      </c>
      <c r="G18" s="248">
        <f>G9-G16</f>
        <v>68124.929999999993</v>
      </c>
      <c r="H18" s="261">
        <f>H9-H16</f>
        <v>60522.369999999988</v>
      </c>
      <c r="I18" s="407">
        <v>60522.369999999988</v>
      </c>
      <c r="J18" s="261">
        <f>J9-J16</f>
        <v>0</v>
      </c>
      <c r="K18" s="407">
        <f t="shared" ref="K18:L18" si="2">K9-K16</f>
        <v>60522.369999999988</v>
      </c>
      <c r="L18" s="447">
        <f t="shared" si="2"/>
        <v>-38558.35</v>
      </c>
    </row>
    <row r="19" spans="1:12" ht="17.25" thickTop="1" thickBot="1" x14ac:dyDescent="0.3">
      <c r="A19" s="84"/>
      <c r="B19" s="46"/>
      <c r="C19" s="47"/>
      <c r="D19" s="47"/>
      <c r="E19" s="36"/>
      <c r="F19" s="48"/>
      <c r="G19" s="249"/>
      <c r="H19" s="262"/>
      <c r="I19" s="408"/>
      <c r="J19" s="262"/>
      <c r="K19" s="408"/>
      <c r="L19" s="408"/>
    </row>
    <row r="20" spans="1:12" x14ac:dyDescent="0.25">
      <c r="A20" s="139"/>
      <c r="C20" s="141"/>
      <c r="D20" s="141"/>
      <c r="F20" s="134"/>
      <c r="G20" s="134"/>
      <c r="H20" s="134"/>
      <c r="I20" s="134"/>
      <c r="J20" s="134"/>
      <c r="K20" s="134"/>
      <c r="L20" s="134"/>
    </row>
    <row r="21" spans="1:12" ht="16.5" thickBot="1" x14ac:dyDescent="0.3">
      <c r="A21" s="84"/>
      <c r="B21" s="142"/>
      <c r="C21" s="143"/>
      <c r="D21" s="143"/>
      <c r="E21" s="36"/>
      <c r="F21" s="140"/>
      <c r="G21" s="140"/>
      <c r="H21" s="140"/>
      <c r="I21" s="140"/>
      <c r="J21" s="140"/>
      <c r="K21" s="140"/>
      <c r="L21" s="140"/>
    </row>
  </sheetData>
  <mergeCells count="2">
    <mergeCell ref="A1:B1"/>
    <mergeCell ref="A9:B9"/>
  </mergeCells>
  <pageMargins left="1" right="1" top="1" bottom="1" header="0.5" footer="0.5"/>
  <pageSetup scale="85" orientation="landscape" r:id="rId1"/>
  <headerFooter>
    <oddHeader>&amp;CFire Equipment Homestead Township</oddHeader>
    <oddFooter>&amp;C&amp;D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 Fund</vt:lpstr>
      <vt:lpstr>Public Works</vt:lpstr>
      <vt:lpstr>Park and Rec</vt:lpstr>
      <vt:lpstr>FIre Operation</vt:lpstr>
      <vt:lpstr>Equipment</vt:lpstr>
      <vt:lpstr>Equipment!Print_Area</vt:lpstr>
      <vt:lpstr>'General Fund'!Print_Area</vt:lpstr>
      <vt:lpstr>'Park and Rec'!Print_Area</vt:lpstr>
      <vt:lpstr>'Public Works'!Print_Area</vt:lpstr>
      <vt:lpstr>'General Fund'!Print_Titles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HomesteadTWP1</dc:creator>
  <cp:lastModifiedBy>DellPC</cp:lastModifiedBy>
  <cp:revision/>
  <cp:lastPrinted>2022-10-02T21:41:58Z</cp:lastPrinted>
  <dcterms:created xsi:type="dcterms:W3CDTF">2021-02-27T19:40:05Z</dcterms:created>
  <dcterms:modified xsi:type="dcterms:W3CDTF">2022-10-02T21:46:42Z</dcterms:modified>
</cp:coreProperties>
</file>